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285" windowWidth="11550" windowHeight="6480"/>
  </bookViews>
  <sheets>
    <sheet name="cf-cds-cds" sheetId="1" r:id="rId1"/>
    <sheet name="Comparisons" sheetId="2" r:id="rId2"/>
    <sheet name="2GenBank" sheetId="3" r:id="rId3"/>
  </sheets>
  <calcPr calcId="145621"/>
</workbook>
</file>

<file path=xl/calcChain.xml><?xml version="1.0" encoding="utf-8"?>
<calcChain xmlns="http://schemas.openxmlformats.org/spreadsheetml/2006/main">
  <c r="K104" i="1" l="1"/>
  <c r="K102" i="1"/>
  <c r="K100"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38" i="1"/>
  <c r="K36" i="1"/>
  <c r="K35" i="1"/>
  <c r="K34" i="1"/>
  <c r="K33" i="1"/>
  <c r="K31" i="1"/>
  <c r="K29" i="1"/>
  <c r="K28" i="1"/>
  <c r="K27" i="1"/>
  <c r="K26" i="1"/>
  <c r="K25" i="1"/>
  <c r="K24" i="1"/>
  <c r="K23" i="1"/>
  <c r="K20" i="1"/>
  <c r="K19" i="1"/>
  <c r="K17" i="1"/>
  <c r="K16" i="1"/>
  <c r="K14" i="1"/>
  <c r="K13" i="1"/>
  <c r="K12" i="1"/>
  <c r="K11" i="1"/>
  <c r="K10" i="1"/>
  <c r="K9" i="1"/>
  <c r="K7" i="1"/>
  <c r="K6" i="1"/>
  <c r="K5" i="1"/>
  <c r="CF104" i="1" l="1"/>
  <c r="CD104" i="1"/>
  <c r="CB104" i="1"/>
  <c r="BY104" i="1"/>
  <c r="BX104" i="1"/>
  <c r="BU104" i="1"/>
  <c r="AY104" i="1"/>
  <c r="AO104" i="1"/>
  <c r="AF104" i="1"/>
  <c r="X104" i="1"/>
  <c r="D104" i="1"/>
  <c r="A104" i="1"/>
  <c r="CD102" i="1"/>
  <c r="CB102" i="1"/>
  <c r="BY102" i="1"/>
  <c r="BX102" i="1"/>
  <c r="BU102" i="1"/>
  <c r="AY102" i="1"/>
  <c r="AO102" i="1"/>
  <c r="AF102" i="1"/>
  <c r="X102" i="1"/>
  <c r="D102" i="1"/>
  <c r="A102" i="1"/>
  <c r="DL100" i="1"/>
  <c r="DK100" i="1"/>
  <c r="DJ100" i="1"/>
  <c r="DI100" i="1"/>
  <c r="DH100" i="1"/>
  <c r="DG100" i="1"/>
  <c r="DF100" i="1"/>
  <c r="DE100" i="1"/>
  <c r="DD100" i="1"/>
  <c r="DC100" i="1"/>
  <c r="DB100" i="1"/>
  <c r="DA100" i="1"/>
  <c r="CZ100" i="1"/>
  <c r="CY100" i="1"/>
  <c r="CX100" i="1"/>
  <c r="CW100" i="1"/>
  <c r="CV100" i="1"/>
  <c r="CU100" i="1"/>
  <c r="CT100" i="1"/>
  <c r="CS100" i="1"/>
  <c r="CR100" i="1"/>
  <c r="CQ100" i="1"/>
  <c r="CP100" i="1"/>
  <c r="CO100" i="1"/>
  <c r="CN100" i="1"/>
  <c r="CM100" i="1"/>
  <c r="CL100" i="1"/>
  <c r="CK100" i="1"/>
  <c r="CD100" i="1"/>
  <c r="CB100" i="1"/>
  <c r="BY100" i="1"/>
  <c r="BX100" i="1"/>
  <c r="BU100" i="1"/>
  <c r="AY100" i="1"/>
  <c r="AO100" i="1"/>
  <c r="AF100" i="1"/>
  <c r="X100" i="1"/>
  <c r="D100" i="1"/>
  <c r="A100" i="1"/>
  <c r="CD98" i="1"/>
  <c r="CB98" i="1"/>
  <c r="BY98" i="1"/>
  <c r="BX98" i="1"/>
  <c r="BU98" i="1"/>
  <c r="AY98" i="1"/>
  <c r="AO98" i="1"/>
  <c r="AF98" i="1"/>
  <c r="X98" i="1"/>
  <c r="D98" i="1"/>
  <c r="A98" i="1"/>
  <c r="CR97" i="1"/>
  <c r="CQ97" i="1"/>
  <c r="CD97" i="1"/>
  <c r="CB97" i="1"/>
  <c r="BY97" i="1"/>
  <c r="BX97" i="1"/>
  <c r="BU97" i="1"/>
  <c r="AY97" i="1"/>
  <c r="AO97" i="1"/>
  <c r="AF97" i="1"/>
  <c r="X97" i="1"/>
  <c r="D97" i="1"/>
  <c r="A97" i="1"/>
  <c r="DN96" i="1"/>
  <c r="DM96" i="1"/>
  <c r="DL96" i="1"/>
  <c r="DK96" i="1"/>
  <c r="DJ96" i="1"/>
  <c r="DI96" i="1"/>
  <c r="DH96" i="1"/>
  <c r="DG96" i="1"/>
  <c r="DF96" i="1"/>
  <c r="DE96" i="1"/>
  <c r="DD96" i="1"/>
  <c r="DC96" i="1"/>
  <c r="DB96" i="1"/>
  <c r="DA96" i="1"/>
  <c r="CZ96" i="1"/>
  <c r="CY96" i="1"/>
  <c r="CX96" i="1"/>
  <c r="CW96" i="1"/>
  <c r="CV96" i="1"/>
  <c r="CU96" i="1"/>
  <c r="CT96" i="1"/>
  <c r="CS96" i="1"/>
  <c r="CR96" i="1"/>
  <c r="CQ96" i="1"/>
  <c r="CP96" i="1"/>
  <c r="CO96" i="1"/>
  <c r="CN96" i="1"/>
  <c r="CM96" i="1"/>
  <c r="CL96" i="1"/>
  <c r="CK96" i="1"/>
  <c r="CD96" i="1"/>
  <c r="CB96" i="1"/>
  <c r="BY96" i="1"/>
  <c r="BX96" i="1"/>
  <c r="BU96" i="1"/>
  <c r="AY96" i="1"/>
  <c r="AO96" i="1"/>
  <c r="AF96" i="1"/>
  <c r="X96" i="1"/>
  <c r="D96" i="1"/>
  <c r="A96" i="1"/>
  <c r="DN95" i="1"/>
  <c r="DM95" i="1"/>
  <c r="DL95" i="1"/>
  <c r="DK95" i="1"/>
  <c r="DJ95" i="1"/>
  <c r="DI95" i="1"/>
  <c r="DH95" i="1"/>
  <c r="DG95" i="1"/>
  <c r="DF95" i="1"/>
  <c r="DE95" i="1"/>
  <c r="DD95" i="1"/>
  <c r="DC95" i="1"/>
  <c r="DB95" i="1"/>
  <c r="DA95" i="1"/>
  <c r="CZ95" i="1"/>
  <c r="CY95" i="1"/>
  <c r="CX95" i="1"/>
  <c r="CW95" i="1"/>
  <c r="CV95" i="1"/>
  <c r="CU95" i="1"/>
  <c r="CT95" i="1"/>
  <c r="CS95" i="1"/>
  <c r="CR95" i="1"/>
  <c r="CQ95" i="1"/>
  <c r="CP95" i="1"/>
  <c r="CO95" i="1"/>
  <c r="CN95" i="1"/>
  <c r="CM95" i="1"/>
  <c r="CL95" i="1"/>
  <c r="CK95" i="1"/>
  <c r="CD95" i="1"/>
  <c r="CB95" i="1"/>
  <c r="BY95" i="1"/>
  <c r="BX95" i="1"/>
  <c r="BU95" i="1"/>
  <c r="AY95" i="1"/>
  <c r="AO95" i="1"/>
  <c r="AF95" i="1"/>
  <c r="X95" i="1"/>
  <c r="D95" i="1"/>
  <c r="A95" i="1"/>
  <c r="CD94" i="1"/>
  <c r="CB94" i="1"/>
  <c r="BY94" i="1"/>
  <c r="BX94" i="1"/>
  <c r="BU94" i="1"/>
  <c r="AY94" i="1"/>
  <c r="AO94" i="1"/>
  <c r="AF94" i="1"/>
  <c r="X94" i="1"/>
  <c r="D94" i="1"/>
  <c r="A94" i="1"/>
  <c r="CD93" i="1"/>
  <c r="CB93" i="1"/>
  <c r="BY93" i="1"/>
  <c r="BX93" i="1"/>
  <c r="BU93" i="1"/>
  <c r="AY93" i="1"/>
  <c r="AO93" i="1"/>
  <c r="AF93" i="1"/>
  <c r="X93" i="1"/>
  <c r="D93" i="1"/>
  <c r="A93" i="1"/>
  <c r="CT92" i="1"/>
  <c r="CS92" i="1"/>
  <c r="CR92" i="1"/>
  <c r="CQ92" i="1"/>
  <c r="CD92" i="1"/>
  <c r="CB92" i="1"/>
  <c r="BY92" i="1"/>
  <c r="BX92" i="1"/>
  <c r="BU92" i="1"/>
  <c r="AY92" i="1"/>
  <c r="AO92" i="1"/>
  <c r="AF92" i="1"/>
  <c r="X92" i="1"/>
  <c r="D92" i="1"/>
  <c r="A92" i="1"/>
  <c r="CD91" i="1"/>
  <c r="CB91" i="1"/>
  <c r="BY91" i="1"/>
  <c r="BX91" i="1"/>
  <c r="BU91" i="1"/>
  <c r="AY91" i="1"/>
  <c r="AO91" i="1"/>
  <c r="AF91" i="1"/>
  <c r="X91" i="1"/>
  <c r="D91" i="1"/>
  <c r="A91" i="1"/>
  <c r="DT90" i="1"/>
  <c r="DS90" i="1"/>
  <c r="DR90" i="1"/>
  <c r="DQ90" i="1"/>
  <c r="DP90" i="1"/>
  <c r="DO90" i="1"/>
  <c r="DN90" i="1"/>
  <c r="DM90" i="1"/>
  <c r="DL90" i="1"/>
  <c r="DK90" i="1"/>
  <c r="DJ90" i="1"/>
  <c r="DI90" i="1"/>
  <c r="DH90" i="1"/>
  <c r="DG90" i="1"/>
  <c r="DF90" i="1"/>
  <c r="DE90" i="1"/>
  <c r="DD90" i="1"/>
  <c r="DC90" i="1"/>
  <c r="DB90" i="1"/>
  <c r="DA90" i="1"/>
  <c r="CZ90" i="1"/>
  <c r="CY90" i="1"/>
  <c r="CX90" i="1"/>
  <c r="CW90" i="1"/>
  <c r="CV90" i="1"/>
  <c r="CU90" i="1"/>
  <c r="CT90" i="1"/>
  <c r="CS90" i="1"/>
  <c r="CR90" i="1"/>
  <c r="CQ90" i="1"/>
  <c r="CP90" i="1"/>
  <c r="CO90" i="1"/>
  <c r="CN90" i="1"/>
  <c r="CM90" i="1"/>
  <c r="CL90" i="1"/>
  <c r="CK90" i="1"/>
  <c r="CD90" i="1"/>
  <c r="CB90" i="1"/>
  <c r="BY90" i="1"/>
  <c r="BX90" i="1"/>
  <c r="BU90" i="1"/>
  <c r="AY90" i="1"/>
  <c r="AO90" i="1"/>
  <c r="AF90" i="1"/>
  <c r="X90" i="1"/>
  <c r="D90" i="1"/>
  <c r="A90" i="1"/>
  <c r="CD89" i="1"/>
  <c r="CB89" i="1"/>
  <c r="BY89" i="1"/>
  <c r="BX89" i="1"/>
  <c r="BU89" i="1"/>
  <c r="AY89" i="1"/>
  <c r="AO89" i="1"/>
  <c r="AF89" i="1"/>
  <c r="X89" i="1"/>
  <c r="D89" i="1"/>
  <c r="A89" i="1"/>
  <c r="DN88" i="1"/>
  <c r="DM88" i="1"/>
  <c r="DL88" i="1"/>
  <c r="DK88" i="1"/>
  <c r="DJ88" i="1"/>
  <c r="DI88" i="1"/>
  <c r="DH88" i="1"/>
  <c r="DG88" i="1"/>
  <c r="DF88" i="1"/>
  <c r="DE88" i="1"/>
  <c r="DD88" i="1"/>
  <c r="DC88" i="1"/>
  <c r="DB88" i="1"/>
  <c r="DA88" i="1"/>
  <c r="CZ88" i="1"/>
  <c r="CY88" i="1"/>
  <c r="CX88" i="1"/>
  <c r="CW88" i="1"/>
  <c r="CV88" i="1"/>
  <c r="CU88" i="1"/>
  <c r="CT88" i="1"/>
  <c r="CS88" i="1"/>
  <c r="CR88" i="1"/>
  <c r="CQ88" i="1"/>
  <c r="CP88" i="1"/>
  <c r="CO88" i="1"/>
  <c r="CN88" i="1"/>
  <c r="CM88" i="1"/>
  <c r="CL88" i="1"/>
  <c r="CK88" i="1"/>
  <c r="CD88" i="1"/>
  <c r="CB88" i="1"/>
  <c r="BY88" i="1"/>
  <c r="BX88" i="1"/>
  <c r="BU88" i="1"/>
  <c r="AY88" i="1"/>
  <c r="AO88" i="1"/>
  <c r="AF88" i="1"/>
  <c r="X88" i="1"/>
  <c r="D88" i="1"/>
  <c r="A88" i="1"/>
  <c r="DN87" i="1"/>
  <c r="DM87" i="1"/>
  <c r="DL87" i="1"/>
  <c r="DK87" i="1"/>
  <c r="DJ87" i="1"/>
  <c r="DI87" i="1"/>
  <c r="DH87" i="1"/>
  <c r="DG87" i="1"/>
  <c r="DF87" i="1"/>
  <c r="DE87" i="1"/>
  <c r="DD87" i="1"/>
  <c r="DC87" i="1"/>
  <c r="DB87" i="1"/>
  <c r="DA87" i="1"/>
  <c r="CZ87" i="1"/>
  <c r="CY87" i="1"/>
  <c r="CX87" i="1"/>
  <c r="CW87" i="1"/>
  <c r="CV87" i="1"/>
  <c r="CU87" i="1"/>
  <c r="CT87" i="1"/>
  <c r="CS87" i="1"/>
  <c r="CR87" i="1"/>
  <c r="CQ87" i="1"/>
  <c r="CP87" i="1"/>
  <c r="CO87" i="1"/>
  <c r="CN87" i="1"/>
  <c r="CM87" i="1"/>
  <c r="CL87" i="1"/>
  <c r="CK87" i="1"/>
  <c r="CD87" i="1"/>
  <c r="CB87" i="1"/>
  <c r="BY87" i="1"/>
  <c r="BX87" i="1"/>
  <c r="BU87" i="1"/>
  <c r="AY87" i="1"/>
  <c r="AO87" i="1"/>
  <c r="AF87" i="1"/>
  <c r="X87" i="1"/>
  <c r="D87" i="1"/>
  <c r="A87" i="1"/>
  <c r="CD86" i="1"/>
  <c r="CB86" i="1"/>
  <c r="BY86" i="1"/>
  <c r="BX86" i="1"/>
  <c r="BU86" i="1"/>
  <c r="AY86" i="1"/>
  <c r="AO86" i="1"/>
  <c r="AF86" i="1"/>
  <c r="X86" i="1"/>
  <c r="D86" i="1"/>
  <c r="A86" i="1"/>
  <c r="DT85" i="1"/>
  <c r="DS85" i="1"/>
  <c r="DR85" i="1"/>
  <c r="DQ85" i="1"/>
  <c r="DP85" i="1"/>
  <c r="DO85" i="1"/>
  <c r="DN85" i="1"/>
  <c r="DM85" i="1"/>
  <c r="DL85" i="1"/>
  <c r="DK85" i="1"/>
  <c r="DJ85" i="1"/>
  <c r="DI85" i="1"/>
  <c r="DH85" i="1"/>
  <c r="DG85" i="1"/>
  <c r="DF85" i="1"/>
  <c r="DE85" i="1"/>
  <c r="DD85" i="1"/>
  <c r="DC85" i="1"/>
  <c r="DB85" i="1"/>
  <c r="DA85" i="1"/>
  <c r="CZ85" i="1"/>
  <c r="CY85" i="1"/>
  <c r="CX85" i="1"/>
  <c r="CW85" i="1"/>
  <c r="CV85" i="1"/>
  <c r="CU85" i="1"/>
  <c r="CT85" i="1"/>
  <c r="CS85" i="1"/>
  <c r="CR85" i="1"/>
  <c r="CQ85" i="1"/>
  <c r="CP85" i="1"/>
  <c r="CO85" i="1"/>
  <c r="CN85" i="1"/>
  <c r="CM85" i="1"/>
  <c r="CL85" i="1"/>
  <c r="CK85" i="1"/>
  <c r="CD85" i="1"/>
  <c r="CB85" i="1"/>
  <c r="BY85" i="1"/>
  <c r="BX85" i="1"/>
  <c r="BU85" i="1"/>
  <c r="AY85" i="1"/>
  <c r="AO85" i="1"/>
  <c r="AF85" i="1"/>
  <c r="X85" i="1"/>
  <c r="D85" i="1"/>
  <c r="A85" i="1"/>
  <c r="DT84" i="1"/>
  <c r="DS84" i="1"/>
  <c r="DR84" i="1"/>
  <c r="DQ84" i="1"/>
  <c r="DP84" i="1"/>
  <c r="DO84" i="1"/>
  <c r="DN84" i="1"/>
  <c r="DM84" i="1"/>
  <c r="DL84" i="1"/>
  <c r="DK84" i="1"/>
  <c r="DJ84" i="1"/>
  <c r="DI84" i="1"/>
  <c r="DH84" i="1"/>
  <c r="DG84" i="1"/>
  <c r="DF84" i="1"/>
  <c r="DE84" i="1"/>
  <c r="DD84" i="1"/>
  <c r="DC84" i="1"/>
  <c r="DB84" i="1"/>
  <c r="DA84" i="1"/>
  <c r="CZ84" i="1"/>
  <c r="CY84" i="1"/>
  <c r="CX84" i="1"/>
  <c r="CW84" i="1"/>
  <c r="CV84" i="1"/>
  <c r="CU84" i="1"/>
  <c r="CT84" i="1"/>
  <c r="CS84" i="1"/>
  <c r="CR84" i="1"/>
  <c r="CQ84" i="1"/>
  <c r="CP84" i="1"/>
  <c r="CO84" i="1"/>
  <c r="CN84" i="1"/>
  <c r="CM84" i="1"/>
  <c r="CL84" i="1"/>
  <c r="CK84" i="1"/>
  <c r="CD84" i="1"/>
  <c r="CB84" i="1"/>
  <c r="BY84" i="1"/>
  <c r="BX84" i="1"/>
  <c r="BU84" i="1"/>
  <c r="AY84" i="1"/>
  <c r="AO84" i="1"/>
  <c r="AF84" i="1"/>
  <c r="X84" i="1"/>
  <c r="D84" i="1"/>
  <c r="A84" i="1"/>
  <c r="DJ83" i="1"/>
  <c r="DI83" i="1"/>
  <c r="DH83" i="1"/>
  <c r="DG83" i="1"/>
  <c r="DF83" i="1"/>
  <c r="DE83" i="1"/>
  <c r="DD83" i="1"/>
  <c r="DC83" i="1"/>
  <c r="DB83" i="1"/>
  <c r="DA83" i="1"/>
  <c r="CZ83" i="1"/>
  <c r="CY83" i="1"/>
  <c r="CX83" i="1"/>
  <c r="CW83" i="1"/>
  <c r="CV83" i="1"/>
  <c r="CU83" i="1"/>
  <c r="CT83" i="1"/>
  <c r="CS83" i="1"/>
  <c r="CR83" i="1"/>
  <c r="CQ83" i="1"/>
  <c r="CP83" i="1"/>
  <c r="CO83" i="1"/>
  <c r="CN83" i="1"/>
  <c r="CM83" i="1"/>
  <c r="CL83" i="1"/>
  <c r="CK83" i="1"/>
  <c r="CD83" i="1"/>
  <c r="CB83" i="1"/>
  <c r="BY83" i="1"/>
  <c r="BX83" i="1"/>
  <c r="BU83" i="1"/>
  <c r="AY83" i="1"/>
  <c r="AO83" i="1"/>
  <c r="AF83" i="1"/>
  <c r="X83" i="1"/>
  <c r="D83" i="1"/>
  <c r="A83" i="1"/>
  <c r="DT82" i="1"/>
  <c r="DS82" i="1"/>
  <c r="DR82" i="1"/>
  <c r="DQ82" i="1"/>
  <c r="DP82" i="1"/>
  <c r="DO82" i="1"/>
  <c r="DN82" i="1"/>
  <c r="DM82" i="1"/>
  <c r="DL82" i="1"/>
  <c r="DK82" i="1"/>
  <c r="DJ82" i="1"/>
  <c r="DI82" i="1"/>
  <c r="DH82" i="1"/>
  <c r="DG82" i="1"/>
  <c r="DF82" i="1"/>
  <c r="DE82" i="1"/>
  <c r="DD82" i="1"/>
  <c r="DC82" i="1"/>
  <c r="DB82" i="1"/>
  <c r="DA82" i="1"/>
  <c r="CZ82" i="1"/>
  <c r="CY82" i="1"/>
  <c r="CX82" i="1"/>
  <c r="CW82" i="1"/>
  <c r="CV82" i="1"/>
  <c r="CU82" i="1"/>
  <c r="CT82" i="1"/>
  <c r="CS82" i="1"/>
  <c r="CR82" i="1"/>
  <c r="CQ82" i="1"/>
  <c r="CP82" i="1"/>
  <c r="CO82" i="1"/>
  <c r="CN82" i="1"/>
  <c r="CM82" i="1"/>
  <c r="CL82" i="1"/>
  <c r="CK82" i="1"/>
  <c r="CD82" i="1"/>
  <c r="CB82" i="1"/>
  <c r="BY82" i="1"/>
  <c r="BX82" i="1"/>
  <c r="BU82" i="1"/>
  <c r="AY82" i="1"/>
  <c r="AO82" i="1"/>
  <c r="AF82" i="1"/>
  <c r="X82" i="1"/>
  <c r="D82" i="1"/>
  <c r="A82" i="1"/>
  <c r="DJ81" i="1"/>
  <c r="DI81" i="1"/>
  <c r="DH81" i="1"/>
  <c r="DG81" i="1"/>
  <c r="DF81" i="1"/>
  <c r="DE81" i="1"/>
  <c r="DD81" i="1"/>
  <c r="DC81" i="1"/>
  <c r="DB81" i="1"/>
  <c r="DA81" i="1"/>
  <c r="CZ81" i="1"/>
  <c r="CY81" i="1"/>
  <c r="CX81" i="1"/>
  <c r="CW81" i="1"/>
  <c r="CV81" i="1"/>
  <c r="CU81" i="1"/>
  <c r="CT81" i="1"/>
  <c r="CS81" i="1"/>
  <c r="CR81" i="1"/>
  <c r="CQ81" i="1"/>
  <c r="CP81" i="1"/>
  <c r="CO81" i="1"/>
  <c r="CN81" i="1"/>
  <c r="CM81" i="1"/>
  <c r="CL81" i="1"/>
  <c r="CK81" i="1"/>
  <c r="CD81" i="1"/>
  <c r="CB81" i="1"/>
  <c r="BY81" i="1"/>
  <c r="BX81" i="1"/>
  <c r="BU81" i="1"/>
  <c r="AY81" i="1"/>
  <c r="AO81" i="1"/>
  <c r="AF81" i="1"/>
  <c r="X81" i="1"/>
  <c r="D81" i="1"/>
  <c r="A81" i="1"/>
  <c r="CV80" i="1"/>
  <c r="CU80" i="1"/>
  <c r="CT80" i="1"/>
  <c r="CS80" i="1"/>
  <c r="CR80" i="1"/>
  <c r="CQ80" i="1"/>
  <c r="CD80" i="1"/>
  <c r="CB80" i="1"/>
  <c r="BY80" i="1"/>
  <c r="BX80" i="1"/>
  <c r="BU80" i="1"/>
  <c r="AY80" i="1"/>
  <c r="AO80" i="1"/>
  <c r="AF80" i="1"/>
  <c r="X80" i="1"/>
  <c r="D80" i="1"/>
  <c r="A80" i="1"/>
  <c r="CR79" i="1"/>
  <c r="CQ79" i="1"/>
  <c r="CD79" i="1"/>
  <c r="CB79" i="1"/>
  <c r="BY79" i="1"/>
  <c r="BX79" i="1"/>
  <c r="BU79" i="1"/>
  <c r="AY79" i="1"/>
  <c r="AO79" i="1"/>
  <c r="AF79" i="1"/>
  <c r="X79" i="1"/>
  <c r="D79" i="1"/>
  <c r="A79" i="1"/>
  <c r="CD78" i="1"/>
  <c r="CB78" i="1"/>
  <c r="BY78" i="1"/>
  <c r="BX78" i="1"/>
  <c r="BU78" i="1"/>
  <c r="AY78" i="1"/>
  <c r="AO78" i="1"/>
  <c r="AF78" i="1"/>
  <c r="X78" i="1"/>
  <c r="D78" i="1"/>
  <c r="A78" i="1"/>
  <c r="CD77" i="1"/>
  <c r="CB77" i="1"/>
  <c r="BY77" i="1"/>
  <c r="BX77" i="1"/>
  <c r="BU77" i="1"/>
  <c r="AY77" i="1"/>
  <c r="AO77" i="1"/>
  <c r="AF77" i="1"/>
  <c r="X77" i="1"/>
  <c r="D77" i="1"/>
  <c r="A77" i="1"/>
  <c r="CD76" i="1"/>
  <c r="CB76" i="1"/>
  <c r="BY76" i="1"/>
  <c r="BX76" i="1"/>
  <c r="BU76" i="1"/>
  <c r="AY76" i="1"/>
  <c r="AO76" i="1"/>
  <c r="AF76" i="1"/>
  <c r="X76" i="1"/>
  <c r="D76" i="1"/>
  <c r="A76" i="1"/>
  <c r="CD75" i="1"/>
  <c r="CB75" i="1"/>
  <c r="BY75" i="1"/>
  <c r="BX75" i="1"/>
  <c r="BU75" i="1"/>
  <c r="AY75" i="1"/>
  <c r="AO75" i="1"/>
  <c r="AF75" i="1"/>
  <c r="X75" i="1"/>
  <c r="D75" i="1"/>
  <c r="A75" i="1"/>
  <c r="CD74" i="1"/>
  <c r="CB74" i="1"/>
  <c r="BY74" i="1"/>
  <c r="BX74" i="1"/>
  <c r="BU74" i="1"/>
  <c r="AY74" i="1"/>
  <c r="AO74" i="1"/>
  <c r="AF74" i="1"/>
  <c r="X74" i="1"/>
  <c r="D74" i="1"/>
  <c r="A74" i="1"/>
  <c r="CR73" i="1"/>
  <c r="CQ73" i="1"/>
  <c r="CD73" i="1"/>
  <c r="CB73" i="1"/>
  <c r="BY73" i="1"/>
  <c r="BX73" i="1"/>
  <c r="BU73" i="1"/>
  <c r="AY73" i="1"/>
  <c r="AO73" i="1"/>
  <c r="AF73" i="1"/>
  <c r="X73" i="1"/>
  <c r="D73" i="1"/>
  <c r="A73" i="1"/>
  <c r="CD72" i="1"/>
  <c r="CB72" i="1"/>
  <c r="BY72" i="1"/>
  <c r="BX72" i="1"/>
  <c r="BU72" i="1"/>
  <c r="AY72" i="1"/>
  <c r="AO72" i="1"/>
  <c r="AF72" i="1"/>
  <c r="X72" i="1"/>
  <c r="D72" i="1"/>
  <c r="A72" i="1"/>
  <c r="CD71" i="1"/>
  <c r="CB71" i="1"/>
  <c r="BY71" i="1"/>
  <c r="BX71" i="1"/>
  <c r="BU71" i="1"/>
  <c r="AY71" i="1"/>
  <c r="AO71" i="1"/>
  <c r="AF71" i="1"/>
  <c r="X71" i="1"/>
  <c r="D71" i="1"/>
  <c r="A71" i="1"/>
  <c r="CR70" i="1"/>
  <c r="CQ70" i="1"/>
  <c r="CD70" i="1"/>
  <c r="CB70" i="1"/>
  <c r="BY70" i="1"/>
  <c r="BX70" i="1"/>
  <c r="BU70" i="1"/>
  <c r="AY70" i="1"/>
  <c r="AO70" i="1"/>
  <c r="AF70" i="1"/>
  <c r="X70" i="1"/>
  <c r="D70" i="1"/>
  <c r="A70" i="1"/>
  <c r="DR69" i="1"/>
  <c r="DQ69" i="1"/>
  <c r="DP69" i="1"/>
  <c r="DO69" i="1"/>
  <c r="DN69" i="1"/>
  <c r="DM69" i="1"/>
  <c r="DL69" i="1"/>
  <c r="DK69" i="1"/>
  <c r="DJ69" i="1"/>
  <c r="DI69" i="1"/>
  <c r="DH69" i="1"/>
  <c r="DG69" i="1"/>
  <c r="DF69" i="1"/>
  <c r="DE69" i="1"/>
  <c r="DD69" i="1"/>
  <c r="DC69" i="1"/>
  <c r="DB69" i="1"/>
  <c r="DA69" i="1"/>
  <c r="CZ69" i="1"/>
  <c r="CY69" i="1"/>
  <c r="CX69" i="1"/>
  <c r="CW69" i="1"/>
  <c r="CV69" i="1"/>
  <c r="CU69" i="1"/>
  <c r="CT69" i="1"/>
  <c r="CS69" i="1"/>
  <c r="CR69" i="1"/>
  <c r="CQ69" i="1"/>
  <c r="CP69" i="1"/>
  <c r="CO69" i="1"/>
  <c r="CN69" i="1"/>
  <c r="CM69" i="1"/>
  <c r="CL69" i="1"/>
  <c r="CK69" i="1"/>
  <c r="CD69" i="1"/>
  <c r="CB69" i="1"/>
  <c r="BY69" i="1"/>
  <c r="BX69" i="1"/>
  <c r="BU69" i="1"/>
  <c r="AY69" i="1"/>
  <c r="AO69" i="1"/>
  <c r="AF69" i="1"/>
  <c r="X69" i="1"/>
  <c r="D69" i="1"/>
  <c r="A69" i="1"/>
  <c r="DB68" i="1"/>
  <c r="DA68" i="1"/>
  <c r="CZ68" i="1"/>
  <c r="CY68" i="1"/>
  <c r="CX68" i="1"/>
  <c r="CW68" i="1"/>
  <c r="CV68" i="1"/>
  <c r="CU68" i="1"/>
  <c r="CT68" i="1"/>
  <c r="CS68" i="1"/>
  <c r="CR68" i="1"/>
  <c r="CQ68" i="1"/>
  <c r="CP68" i="1"/>
  <c r="CO68" i="1"/>
  <c r="CN68" i="1"/>
  <c r="CM68" i="1"/>
  <c r="CL68" i="1"/>
  <c r="CK68" i="1"/>
  <c r="CD68" i="1"/>
  <c r="CB68" i="1"/>
  <c r="BY68" i="1"/>
  <c r="BX68" i="1"/>
  <c r="BU68" i="1"/>
  <c r="AY68" i="1"/>
  <c r="AO68" i="1"/>
  <c r="AF68" i="1"/>
  <c r="X68" i="1"/>
  <c r="D68" i="1"/>
  <c r="A68" i="1"/>
  <c r="CD67" i="1"/>
  <c r="CB67" i="1"/>
  <c r="BY67" i="1"/>
  <c r="BX67" i="1"/>
  <c r="BU67" i="1"/>
  <c r="AY67" i="1"/>
  <c r="AO67" i="1"/>
  <c r="AF67" i="1"/>
  <c r="X67" i="1"/>
  <c r="D67" i="1"/>
  <c r="A67" i="1"/>
  <c r="CV66" i="1"/>
  <c r="CU66" i="1"/>
  <c r="CT66" i="1"/>
  <c r="CS66" i="1"/>
  <c r="CR66" i="1"/>
  <c r="CQ66" i="1"/>
  <c r="CD66" i="1"/>
  <c r="CB66" i="1"/>
  <c r="BY66" i="1"/>
  <c r="BX66" i="1"/>
  <c r="BU66" i="1"/>
  <c r="AY66" i="1"/>
  <c r="AO66" i="1"/>
  <c r="AF66" i="1"/>
  <c r="X66" i="1"/>
  <c r="D66" i="1"/>
  <c r="A66" i="1"/>
  <c r="DF65" i="1"/>
  <c r="DE65" i="1"/>
  <c r="DD65" i="1"/>
  <c r="DC65" i="1"/>
  <c r="DB65" i="1"/>
  <c r="DA65" i="1"/>
  <c r="CZ65" i="1"/>
  <c r="CY65" i="1"/>
  <c r="CX65" i="1"/>
  <c r="CW65" i="1"/>
  <c r="CV65" i="1"/>
  <c r="CU65" i="1"/>
  <c r="CT65" i="1"/>
  <c r="CS65" i="1"/>
  <c r="CR65" i="1"/>
  <c r="CQ65" i="1"/>
  <c r="CP65" i="1"/>
  <c r="CO65" i="1"/>
  <c r="CN65" i="1"/>
  <c r="CM65" i="1"/>
  <c r="CL65" i="1"/>
  <c r="CK65" i="1"/>
  <c r="CD65" i="1"/>
  <c r="CB65" i="1"/>
  <c r="BY65" i="1"/>
  <c r="BX65" i="1"/>
  <c r="BU65" i="1"/>
  <c r="AY65" i="1"/>
  <c r="AO65" i="1"/>
  <c r="AF65" i="1"/>
  <c r="X65" i="1"/>
  <c r="D65" i="1"/>
  <c r="A65" i="1"/>
  <c r="DF64" i="1"/>
  <c r="DE64" i="1"/>
  <c r="DD64" i="1"/>
  <c r="DC64" i="1"/>
  <c r="DB64" i="1"/>
  <c r="DA64" i="1"/>
  <c r="CZ64" i="1"/>
  <c r="CY64" i="1"/>
  <c r="CX64" i="1"/>
  <c r="CW64" i="1"/>
  <c r="CV64" i="1"/>
  <c r="CU64" i="1"/>
  <c r="CT64" i="1"/>
  <c r="CS64" i="1"/>
  <c r="CR64" i="1"/>
  <c r="CQ64" i="1"/>
  <c r="CP64" i="1"/>
  <c r="CO64" i="1"/>
  <c r="CN64" i="1"/>
  <c r="CM64" i="1"/>
  <c r="CL64" i="1"/>
  <c r="CK64" i="1"/>
  <c r="CD64" i="1"/>
  <c r="CB64" i="1"/>
  <c r="BY64" i="1"/>
  <c r="BX64" i="1"/>
  <c r="BU64" i="1"/>
  <c r="AY64" i="1"/>
  <c r="AO64" i="1"/>
  <c r="AF64" i="1"/>
  <c r="X64" i="1"/>
  <c r="D64" i="1"/>
  <c r="A64" i="1"/>
  <c r="DB63" i="1"/>
  <c r="DA63" i="1"/>
  <c r="CZ63" i="1"/>
  <c r="CY63" i="1"/>
  <c r="CX63" i="1"/>
  <c r="CW63" i="1"/>
  <c r="CV63" i="1"/>
  <c r="CU63" i="1"/>
  <c r="CT63" i="1"/>
  <c r="CS63" i="1"/>
  <c r="CR63" i="1"/>
  <c r="CQ63" i="1"/>
  <c r="CP63" i="1"/>
  <c r="CO63" i="1"/>
  <c r="CN63" i="1"/>
  <c r="CM63" i="1"/>
  <c r="CL63" i="1"/>
  <c r="CK63" i="1"/>
  <c r="CD63" i="1"/>
  <c r="CB63" i="1"/>
  <c r="BY63" i="1"/>
  <c r="BX63" i="1"/>
  <c r="BU63" i="1"/>
  <c r="AY63" i="1"/>
  <c r="AO63" i="1"/>
  <c r="AF63" i="1"/>
  <c r="X63" i="1"/>
  <c r="D63" i="1"/>
  <c r="A63" i="1"/>
  <c r="CD62" i="1"/>
  <c r="CB62" i="1"/>
  <c r="BY62" i="1"/>
  <c r="BX62" i="1"/>
  <c r="BU62" i="1"/>
  <c r="AY62" i="1"/>
  <c r="AO62" i="1"/>
  <c r="AF62" i="1"/>
  <c r="X62" i="1"/>
  <c r="D62" i="1"/>
  <c r="A62" i="1"/>
  <c r="CD61" i="1"/>
  <c r="CB61" i="1"/>
  <c r="BY61" i="1"/>
  <c r="BX61" i="1"/>
  <c r="BU61" i="1"/>
  <c r="AY61" i="1"/>
  <c r="AO61" i="1"/>
  <c r="AF61" i="1"/>
  <c r="X61" i="1"/>
  <c r="D61" i="1"/>
  <c r="A61" i="1"/>
  <c r="CD60" i="1"/>
  <c r="CB60" i="1"/>
  <c r="BY60" i="1"/>
  <c r="BX60" i="1"/>
  <c r="BU60" i="1"/>
  <c r="AY60" i="1"/>
  <c r="AO60" i="1"/>
  <c r="AF60" i="1"/>
  <c r="X60" i="1"/>
  <c r="D60" i="1"/>
  <c r="A60" i="1"/>
  <c r="CD59" i="1"/>
  <c r="CB59" i="1"/>
  <c r="BY59" i="1"/>
  <c r="BX59" i="1"/>
  <c r="BU59" i="1"/>
  <c r="AY59" i="1"/>
  <c r="AO59" i="1"/>
  <c r="AF59" i="1"/>
  <c r="X59" i="1"/>
  <c r="D59" i="1"/>
  <c r="A59" i="1"/>
  <c r="CR58" i="1"/>
  <c r="CQ58" i="1"/>
  <c r="CD58" i="1"/>
  <c r="CB58" i="1"/>
  <c r="BY58" i="1"/>
  <c r="BX58" i="1"/>
  <c r="BU58" i="1"/>
  <c r="AY58" i="1"/>
  <c r="AO58" i="1"/>
  <c r="AF58" i="1"/>
  <c r="X58" i="1"/>
  <c r="D58" i="1"/>
  <c r="A58" i="1"/>
  <c r="CD57" i="1"/>
  <c r="CB57" i="1"/>
  <c r="BY57" i="1"/>
  <c r="BX57" i="1"/>
  <c r="BU57" i="1"/>
  <c r="AY57" i="1"/>
  <c r="AO57" i="1"/>
  <c r="AF57" i="1"/>
  <c r="X57" i="1"/>
  <c r="D57" i="1"/>
  <c r="A57" i="1"/>
  <c r="CR56" i="1"/>
  <c r="CQ56" i="1"/>
  <c r="CP56" i="1"/>
  <c r="CO56" i="1"/>
  <c r="CN56" i="1"/>
  <c r="CM56" i="1"/>
  <c r="CL56" i="1"/>
  <c r="CK56" i="1"/>
  <c r="CD56" i="1"/>
  <c r="CB56" i="1"/>
  <c r="BY56" i="1"/>
  <c r="BX56" i="1"/>
  <c r="BU56" i="1"/>
  <c r="AY56" i="1"/>
  <c r="AO56" i="1"/>
  <c r="AF56" i="1"/>
  <c r="X56" i="1"/>
  <c r="D56" i="1"/>
  <c r="A56" i="1"/>
  <c r="CV55" i="1"/>
  <c r="CU55" i="1"/>
  <c r="CT55" i="1"/>
  <c r="CS55" i="1"/>
  <c r="CR55" i="1"/>
  <c r="CQ55" i="1"/>
  <c r="CD55" i="1"/>
  <c r="CB55" i="1"/>
  <c r="BY55" i="1"/>
  <c r="BX55" i="1"/>
  <c r="BU55" i="1"/>
  <c r="AY55" i="1"/>
  <c r="AO55" i="1"/>
  <c r="AF55" i="1"/>
  <c r="X55" i="1"/>
  <c r="D55" i="1"/>
  <c r="A55" i="1"/>
  <c r="CD54" i="1"/>
  <c r="CB54" i="1"/>
  <c r="BY54" i="1"/>
  <c r="BX54" i="1"/>
  <c r="BU54" i="1"/>
  <c r="AY54" i="1"/>
  <c r="AO54" i="1"/>
  <c r="AF54" i="1"/>
  <c r="X54" i="1"/>
  <c r="D54" i="1"/>
  <c r="A54" i="1"/>
  <c r="DR53" i="1"/>
  <c r="DQ53" i="1"/>
  <c r="DP53" i="1"/>
  <c r="DO53" i="1"/>
  <c r="DN53" i="1"/>
  <c r="DM53" i="1"/>
  <c r="DL53" i="1"/>
  <c r="DK53" i="1"/>
  <c r="DJ53" i="1"/>
  <c r="DI53" i="1"/>
  <c r="DH53" i="1"/>
  <c r="DG53" i="1"/>
  <c r="DF53" i="1"/>
  <c r="DE53" i="1"/>
  <c r="DD53" i="1"/>
  <c r="DC53" i="1"/>
  <c r="DB53" i="1"/>
  <c r="DA53" i="1"/>
  <c r="CZ53" i="1"/>
  <c r="CY53" i="1"/>
  <c r="CX53" i="1"/>
  <c r="CW53" i="1"/>
  <c r="CV53" i="1"/>
  <c r="CU53" i="1"/>
  <c r="CT53" i="1"/>
  <c r="CS53" i="1"/>
  <c r="CR53" i="1"/>
  <c r="CQ53" i="1"/>
  <c r="CP53" i="1"/>
  <c r="CO53" i="1"/>
  <c r="CN53" i="1"/>
  <c r="CM53" i="1"/>
  <c r="CL53" i="1"/>
  <c r="CK53" i="1"/>
  <c r="CD53" i="1"/>
  <c r="CB53" i="1"/>
  <c r="BY53" i="1"/>
  <c r="BX53" i="1"/>
  <c r="BU53" i="1"/>
  <c r="AY53" i="1"/>
  <c r="AO53" i="1"/>
  <c r="AF53" i="1"/>
  <c r="X53" i="1"/>
  <c r="D53" i="1"/>
  <c r="A53" i="1"/>
  <c r="DT52" i="1"/>
  <c r="DS52" i="1"/>
  <c r="DR52" i="1"/>
  <c r="DQ52" i="1"/>
  <c r="DP52" i="1"/>
  <c r="DO52" i="1"/>
  <c r="DN52" i="1"/>
  <c r="DM52" i="1"/>
  <c r="DL52" i="1"/>
  <c r="DK52" i="1"/>
  <c r="DJ52" i="1"/>
  <c r="DI52" i="1"/>
  <c r="DH52" i="1"/>
  <c r="DG52" i="1"/>
  <c r="DF52" i="1"/>
  <c r="DE52" i="1"/>
  <c r="DD52" i="1"/>
  <c r="DC52" i="1"/>
  <c r="DB52" i="1"/>
  <c r="DA52" i="1"/>
  <c r="CZ52" i="1"/>
  <c r="CY52" i="1"/>
  <c r="CX52" i="1"/>
  <c r="CW52" i="1"/>
  <c r="CV52" i="1"/>
  <c r="CU52" i="1"/>
  <c r="CT52" i="1"/>
  <c r="CS52" i="1"/>
  <c r="CR52" i="1"/>
  <c r="CQ52" i="1"/>
  <c r="CP52" i="1"/>
  <c r="CO52" i="1"/>
  <c r="CN52" i="1"/>
  <c r="CM52" i="1"/>
  <c r="CL52" i="1"/>
  <c r="CK52" i="1"/>
  <c r="CD52" i="1"/>
  <c r="CB52" i="1"/>
  <c r="BY52" i="1"/>
  <c r="BX52" i="1"/>
  <c r="BU52" i="1"/>
  <c r="AY52" i="1"/>
  <c r="AO52" i="1"/>
  <c r="AF52" i="1"/>
  <c r="X52" i="1"/>
  <c r="D52" i="1"/>
  <c r="A52" i="1"/>
  <c r="CR51" i="1"/>
  <c r="CQ51" i="1"/>
  <c r="CD51" i="1"/>
  <c r="CB51" i="1"/>
  <c r="BY51" i="1"/>
  <c r="BX51" i="1"/>
  <c r="BU51" i="1"/>
  <c r="AY51" i="1"/>
  <c r="AO51" i="1"/>
  <c r="AF51" i="1"/>
  <c r="X51" i="1"/>
  <c r="D51" i="1"/>
  <c r="A51" i="1"/>
  <c r="CD50" i="1"/>
  <c r="CB50" i="1"/>
  <c r="BY50" i="1"/>
  <c r="BX50" i="1"/>
  <c r="BU50" i="1"/>
  <c r="AY50" i="1"/>
  <c r="AO50" i="1"/>
  <c r="AF50" i="1"/>
  <c r="X50" i="1"/>
  <c r="D50" i="1"/>
  <c r="A50" i="1"/>
  <c r="CD49" i="1"/>
  <c r="CB49" i="1"/>
  <c r="BY49" i="1"/>
  <c r="BX49" i="1"/>
  <c r="BU49" i="1"/>
  <c r="AY49" i="1"/>
  <c r="AO49" i="1"/>
  <c r="AF49" i="1"/>
  <c r="X49" i="1"/>
  <c r="D49" i="1"/>
  <c r="A49" i="1"/>
  <c r="CR48" i="1"/>
  <c r="CQ48" i="1"/>
  <c r="CD48" i="1"/>
  <c r="CB48" i="1"/>
  <c r="BY48" i="1"/>
  <c r="BX48" i="1"/>
  <c r="BU48" i="1"/>
  <c r="AY48" i="1"/>
  <c r="AO48" i="1"/>
  <c r="AF48" i="1"/>
  <c r="X48" i="1"/>
  <c r="D48" i="1"/>
  <c r="A48" i="1"/>
  <c r="DT47" i="1"/>
  <c r="DS47" i="1"/>
  <c r="DR47" i="1"/>
  <c r="DQ47" i="1"/>
  <c r="DP47" i="1"/>
  <c r="DO47" i="1"/>
  <c r="DN47" i="1"/>
  <c r="DM47" i="1"/>
  <c r="DL47" i="1"/>
  <c r="DK47" i="1"/>
  <c r="DJ47" i="1"/>
  <c r="DI47" i="1"/>
  <c r="DH47" i="1"/>
  <c r="DG47" i="1"/>
  <c r="DF47" i="1"/>
  <c r="DE47" i="1"/>
  <c r="DD47" i="1"/>
  <c r="DC47" i="1"/>
  <c r="DB47" i="1"/>
  <c r="DA47" i="1"/>
  <c r="CZ47" i="1"/>
  <c r="CY47" i="1"/>
  <c r="CX47" i="1"/>
  <c r="CW47" i="1"/>
  <c r="CV47" i="1"/>
  <c r="CU47" i="1"/>
  <c r="CT47" i="1"/>
  <c r="CS47" i="1"/>
  <c r="CR47" i="1"/>
  <c r="CQ47" i="1"/>
  <c r="CP47" i="1"/>
  <c r="CO47" i="1"/>
  <c r="CN47" i="1"/>
  <c r="CM47" i="1"/>
  <c r="CL47" i="1"/>
  <c r="CK47" i="1"/>
  <c r="CD47" i="1"/>
  <c r="CB47" i="1"/>
  <c r="BY47" i="1"/>
  <c r="BX47" i="1"/>
  <c r="BU47" i="1"/>
  <c r="AY47" i="1"/>
  <c r="AO47" i="1"/>
  <c r="AF47" i="1"/>
  <c r="X47" i="1"/>
  <c r="D47" i="1"/>
  <c r="A47" i="1"/>
  <c r="CR46" i="1"/>
  <c r="CQ46" i="1"/>
  <c r="CD46" i="1"/>
  <c r="CB46" i="1"/>
  <c r="BY46" i="1"/>
  <c r="BX46" i="1"/>
  <c r="BU46" i="1"/>
  <c r="AY46" i="1"/>
  <c r="AO46" i="1"/>
  <c r="AF46" i="1"/>
  <c r="X46" i="1"/>
  <c r="D46" i="1"/>
  <c r="A46" i="1"/>
  <c r="CR45" i="1"/>
  <c r="CQ45" i="1"/>
  <c r="CD45" i="1"/>
  <c r="CB45" i="1"/>
  <c r="BY45" i="1"/>
  <c r="BX45" i="1"/>
  <c r="BU45" i="1"/>
  <c r="AY45" i="1"/>
  <c r="AO45" i="1"/>
  <c r="AF45" i="1"/>
  <c r="X45" i="1"/>
  <c r="D45" i="1"/>
  <c r="A45" i="1"/>
  <c r="CT44" i="1"/>
  <c r="CS44" i="1"/>
  <c r="CR44" i="1"/>
  <c r="CQ44" i="1"/>
  <c r="CD44" i="1"/>
  <c r="CB44" i="1"/>
  <c r="BY44" i="1"/>
  <c r="BX44" i="1"/>
  <c r="BU44" i="1"/>
  <c r="AY44" i="1"/>
  <c r="AO44" i="1"/>
  <c r="AF44" i="1"/>
  <c r="X44" i="1"/>
  <c r="D44" i="1"/>
  <c r="A44" i="1"/>
  <c r="CR43" i="1"/>
  <c r="CQ43" i="1"/>
  <c r="CD43" i="1"/>
  <c r="CB43" i="1"/>
  <c r="BY43" i="1"/>
  <c r="BX43" i="1"/>
  <c r="BU43" i="1"/>
  <c r="AY43" i="1"/>
  <c r="AO43" i="1"/>
  <c r="AF43" i="1"/>
  <c r="X43" i="1"/>
  <c r="D43" i="1"/>
  <c r="A43" i="1"/>
  <c r="CD42" i="1"/>
  <c r="CB42" i="1"/>
  <c r="BY42" i="1"/>
  <c r="BX42" i="1"/>
  <c r="BU42" i="1"/>
  <c r="AY42" i="1"/>
  <c r="AO42" i="1"/>
  <c r="AF42" i="1"/>
  <c r="X42" i="1"/>
  <c r="D42" i="1"/>
  <c r="A42" i="1"/>
  <c r="CD41" i="1"/>
  <c r="CB41" i="1"/>
  <c r="BY41" i="1"/>
  <c r="BX41" i="1"/>
  <c r="BU41" i="1"/>
  <c r="AY41" i="1"/>
  <c r="AO41" i="1"/>
  <c r="AF41" i="1"/>
  <c r="X41" i="1"/>
  <c r="D41" i="1"/>
  <c r="A41" i="1"/>
  <c r="CR38" i="1"/>
  <c r="CQ38" i="1"/>
  <c r="CD38" i="1"/>
  <c r="CB38" i="1"/>
  <c r="BY38" i="1"/>
  <c r="BX38" i="1"/>
  <c r="BU38" i="1"/>
  <c r="AO38" i="1"/>
  <c r="AF38" i="1"/>
  <c r="X38" i="1"/>
  <c r="R38" i="1"/>
  <c r="D38" i="1"/>
  <c r="A38" i="1"/>
  <c r="DT36" i="1"/>
  <c r="DS36" i="1"/>
  <c r="DR36" i="1"/>
  <c r="DQ36" i="1"/>
  <c r="DP36" i="1"/>
  <c r="DO36" i="1"/>
  <c r="DN36" i="1"/>
  <c r="DM36" i="1"/>
  <c r="DL36" i="1"/>
  <c r="DK36" i="1"/>
  <c r="DJ36" i="1"/>
  <c r="DI36" i="1"/>
  <c r="DH36" i="1"/>
  <c r="DG36" i="1"/>
  <c r="DF36" i="1"/>
  <c r="DE36" i="1"/>
  <c r="DD36" i="1"/>
  <c r="DC36" i="1"/>
  <c r="DB36" i="1"/>
  <c r="DA36" i="1"/>
  <c r="CZ36" i="1"/>
  <c r="CY36" i="1"/>
  <c r="CX36" i="1"/>
  <c r="CW36" i="1"/>
  <c r="CV36" i="1"/>
  <c r="CU36" i="1"/>
  <c r="CT36" i="1"/>
  <c r="CS36" i="1"/>
  <c r="CR36" i="1"/>
  <c r="CQ36" i="1"/>
  <c r="CP36" i="1"/>
  <c r="CO36" i="1"/>
  <c r="CN36" i="1"/>
  <c r="CM36" i="1"/>
  <c r="CL36" i="1"/>
  <c r="CK36" i="1"/>
  <c r="CD36" i="1"/>
  <c r="CB36" i="1"/>
  <c r="BY36" i="1"/>
  <c r="BX36" i="1"/>
  <c r="BU36" i="1"/>
  <c r="AO36" i="1"/>
  <c r="AF36" i="1"/>
  <c r="X36" i="1"/>
  <c r="R36" i="1"/>
  <c r="D36" i="1"/>
  <c r="A36" i="1"/>
  <c r="DT35" i="1"/>
  <c r="DS35" i="1"/>
  <c r="DR35" i="1"/>
  <c r="DQ35" i="1"/>
  <c r="DP35" i="1"/>
  <c r="DO35" i="1"/>
  <c r="DN35" i="1"/>
  <c r="DM35" i="1"/>
  <c r="DL35" i="1"/>
  <c r="DK35" i="1"/>
  <c r="DJ35" i="1"/>
  <c r="DI35" i="1"/>
  <c r="DH35" i="1"/>
  <c r="DG35" i="1"/>
  <c r="DF35" i="1"/>
  <c r="DE35" i="1"/>
  <c r="DD35" i="1"/>
  <c r="DC35" i="1"/>
  <c r="DB35" i="1"/>
  <c r="DA35" i="1"/>
  <c r="CZ35" i="1"/>
  <c r="CY35" i="1"/>
  <c r="CX35" i="1"/>
  <c r="CW35" i="1"/>
  <c r="CV35" i="1"/>
  <c r="CU35" i="1"/>
  <c r="CT35" i="1"/>
  <c r="CS35" i="1"/>
  <c r="CR35" i="1"/>
  <c r="CQ35" i="1"/>
  <c r="CP35" i="1"/>
  <c r="CO35" i="1"/>
  <c r="CN35" i="1"/>
  <c r="CM35" i="1"/>
  <c r="CL35" i="1"/>
  <c r="CK35" i="1"/>
  <c r="CD35" i="1"/>
  <c r="CB35" i="1"/>
  <c r="BY35" i="1"/>
  <c r="BX35" i="1"/>
  <c r="BU35" i="1"/>
  <c r="AO35" i="1"/>
  <c r="AF35" i="1"/>
  <c r="X35" i="1"/>
  <c r="R35" i="1"/>
  <c r="D35" i="1"/>
  <c r="A35" i="1"/>
  <c r="DT34" i="1"/>
  <c r="DS34" i="1"/>
  <c r="DR34" i="1"/>
  <c r="DQ34" i="1"/>
  <c r="DP34" i="1"/>
  <c r="DO34" i="1"/>
  <c r="DN34" i="1"/>
  <c r="DM34" i="1"/>
  <c r="DL34" i="1"/>
  <c r="DK34" i="1"/>
  <c r="DJ34" i="1"/>
  <c r="DI34" i="1"/>
  <c r="DH34" i="1"/>
  <c r="DG34" i="1"/>
  <c r="DF34" i="1"/>
  <c r="DE34" i="1"/>
  <c r="DD34" i="1"/>
  <c r="DC34" i="1"/>
  <c r="DB34" i="1"/>
  <c r="DA34" i="1"/>
  <c r="CZ34" i="1"/>
  <c r="CY34" i="1"/>
  <c r="CX34" i="1"/>
  <c r="CW34" i="1"/>
  <c r="CV34" i="1"/>
  <c r="CU34" i="1"/>
  <c r="CT34" i="1"/>
  <c r="CS34" i="1"/>
  <c r="CR34" i="1"/>
  <c r="CQ34" i="1"/>
  <c r="CP34" i="1"/>
  <c r="CO34" i="1"/>
  <c r="CN34" i="1"/>
  <c r="CM34" i="1"/>
  <c r="CL34" i="1"/>
  <c r="CK34" i="1"/>
  <c r="CD34" i="1"/>
  <c r="CB34" i="1"/>
  <c r="AO34" i="1"/>
  <c r="AF34" i="1"/>
  <c r="X34" i="1"/>
  <c r="R34" i="1"/>
  <c r="D34" i="1"/>
  <c r="A34" i="1"/>
  <c r="DT33" i="1"/>
  <c r="DS33" i="1"/>
  <c r="DR33" i="1"/>
  <c r="DQ33" i="1"/>
  <c r="DP33" i="1"/>
  <c r="DO33" i="1"/>
  <c r="DN33" i="1"/>
  <c r="DM33" i="1"/>
  <c r="DL33" i="1"/>
  <c r="DK33" i="1"/>
  <c r="DJ33" i="1"/>
  <c r="DI33" i="1"/>
  <c r="DH33" i="1"/>
  <c r="DG33" i="1"/>
  <c r="DF33" i="1"/>
  <c r="DE33" i="1"/>
  <c r="DD33" i="1"/>
  <c r="DC33" i="1"/>
  <c r="DB33" i="1"/>
  <c r="DA33" i="1"/>
  <c r="CZ33" i="1"/>
  <c r="CY33" i="1"/>
  <c r="CX33" i="1"/>
  <c r="CW33" i="1"/>
  <c r="CV33" i="1"/>
  <c r="CU33" i="1"/>
  <c r="CT33" i="1"/>
  <c r="CS33" i="1"/>
  <c r="CR33" i="1"/>
  <c r="CQ33" i="1"/>
  <c r="CP33" i="1"/>
  <c r="CO33" i="1"/>
  <c r="CN33" i="1"/>
  <c r="CM33" i="1"/>
  <c r="CL33" i="1"/>
  <c r="CK33" i="1"/>
  <c r="CD33" i="1"/>
  <c r="CB33" i="1"/>
  <c r="BY33" i="1"/>
  <c r="BX33" i="1"/>
  <c r="BU33" i="1"/>
  <c r="AO33" i="1"/>
  <c r="AF33" i="1"/>
  <c r="X33" i="1"/>
  <c r="R33" i="1"/>
  <c r="D33" i="1"/>
  <c r="A33" i="1"/>
  <c r="CZ31" i="1"/>
  <c r="CY31" i="1"/>
  <c r="CX31" i="1"/>
  <c r="CW31" i="1"/>
  <c r="CV31" i="1"/>
  <c r="CU31" i="1"/>
  <c r="CT31" i="1"/>
  <c r="CS31" i="1"/>
  <c r="CR31" i="1"/>
  <c r="CQ31" i="1"/>
  <c r="CD31" i="1"/>
  <c r="CB31" i="1"/>
  <c r="BX31" i="1"/>
  <c r="BU31" i="1"/>
  <c r="AO31" i="1"/>
  <c r="AF31" i="1"/>
  <c r="X31" i="1"/>
  <c r="D31" i="1"/>
  <c r="A31" i="1"/>
  <c r="DP29" i="1"/>
  <c r="DO29" i="1"/>
  <c r="DN29" i="1"/>
  <c r="DM29" i="1"/>
  <c r="DL29" i="1"/>
  <c r="DK29" i="1"/>
  <c r="DJ29" i="1"/>
  <c r="DI29" i="1"/>
  <c r="DH29" i="1"/>
  <c r="DG29" i="1"/>
  <c r="DF29" i="1"/>
  <c r="DE29" i="1"/>
  <c r="DD29" i="1"/>
  <c r="DC29" i="1"/>
  <c r="DB29" i="1"/>
  <c r="DA29" i="1"/>
  <c r="CZ29" i="1"/>
  <c r="CY29" i="1"/>
  <c r="CX29" i="1"/>
  <c r="CW29" i="1"/>
  <c r="CV29" i="1"/>
  <c r="CU29" i="1"/>
  <c r="CT29" i="1"/>
  <c r="CS29" i="1"/>
  <c r="CR29" i="1"/>
  <c r="CQ29" i="1"/>
  <c r="CP29" i="1"/>
  <c r="CO29" i="1"/>
  <c r="CN29" i="1"/>
  <c r="CM29" i="1"/>
  <c r="CL29" i="1"/>
  <c r="CK29" i="1"/>
  <c r="CD29" i="1"/>
  <c r="CB29" i="1"/>
  <c r="BY29" i="1"/>
  <c r="BX29" i="1"/>
  <c r="BU29" i="1"/>
  <c r="AO29" i="1"/>
  <c r="AF29" i="1"/>
  <c r="X29" i="1"/>
  <c r="R29" i="1"/>
  <c r="D29" i="1"/>
  <c r="A29" i="1"/>
  <c r="DR28" i="1"/>
  <c r="DQ28" i="1"/>
  <c r="DP28" i="1"/>
  <c r="DO28" i="1"/>
  <c r="DN28" i="1"/>
  <c r="DM28" i="1"/>
  <c r="DL28" i="1"/>
  <c r="DK28" i="1"/>
  <c r="DJ28" i="1"/>
  <c r="DI28" i="1"/>
  <c r="DH28" i="1"/>
  <c r="DG28" i="1"/>
  <c r="DF28" i="1"/>
  <c r="DE28" i="1"/>
  <c r="DD28" i="1"/>
  <c r="DC28" i="1"/>
  <c r="DB28" i="1"/>
  <c r="DA28" i="1"/>
  <c r="CZ28" i="1"/>
  <c r="CY28" i="1"/>
  <c r="CX28" i="1"/>
  <c r="CW28" i="1"/>
  <c r="CV28" i="1"/>
  <c r="CU28" i="1"/>
  <c r="CT28" i="1"/>
  <c r="CS28" i="1"/>
  <c r="CR28" i="1"/>
  <c r="CQ28" i="1"/>
  <c r="CP28" i="1"/>
  <c r="CO28" i="1"/>
  <c r="CN28" i="1"/>
  <c r="CM28" i="1"/>
  <c r="CL28" i="1"/>
  <c r="CK28" i="1"/>
  <c r="CD28" i="1"/>
  <c r="CB28" i="1"/>
  <c r="BY28" i="1"/>
  <c r="BX28" i="1"/>
  <c r="BU28" i="1"/>
  <c r="AO28" i="1"/>
  <c r="AF28" i="1"/>
  <c r="X28" i="1"/>
  <c r="D28" i="1"/>
  <c r="A28" i="1"/>
  <c r="DL27" i="1"/>
  <c r="DK27" i="1"/>
  <c r="DJ27" i="1"/>
  <c r="DI27" i="1"/>
  <c r="DH27" i="1"/>
  <c r="DG27" i="1"/>
  <c r="DF27" i="1"/>
  <c r="DE27" i="1"/>
  <c r="DD27" i="1"/>
  <c r="DC27" i="1"/>
  <c r="DB27" i="1"/>
  <c r="DA27" i="1"/>
  <c r="CZ27" i="1"/>
  <c r="CY27" i="1"/>
  <c r="CX27" i="1"/>
  <c r="CW27" i="1"/>
  <c r="CV27" i="1"/>
  <c r="CU27" i="1"/>
  <c r="CT27" i="1"/>
  <c r="CS27" i="1"/>
  <c r="CR27" i="1"/>
  <c r="CQ27" i="1"/>
  <c r="CP27" i="1"/>
  <c r="CO27" i="1"/>
  <c r="CN27" i="1"/>
  <c r="CM27" i="1"/>
  <c r="CL27" i="1"/>
  <c r="CK27" i="1"/>
  <c r="CD27" i="1"/>
  <c r="CB27" i="1"/>
  <c r="BX27" i="1"/>
  <c r="BU27" i="1"/>
  <c r="AO27" i="1"/>
  <c r="AF27" i="1"/>
  <c r="X27" i="1"/>
  <c r="D27" i="1"/>
  <c r="A27" i="1"/>
  <c r="DT26" i="1"/>
  <c r="DS26" i="1"/>
  <c r="DR26" i="1"/>
  <c r="DQ26" i="1"/>
  <c r="DP26" i="1"/>
  <c r="DO26" i="1"/>
  <c r="DN26" i="1"/>
  <c r="DM26" i="1"/>
  <c r="DL26" i="1"/>
  <c r="DK26" i="1"/>
  <c r="DJ26" i="1"/>
  <c r="DI26" i="1"/>
  <c r="DH26" i="1"/>
  <c r="DG26" i="1"/>
  <c r="DF26" i="1"/>
  <c r="DE26" i="1"/>
  <c r="DD26" i="1"/>
  <c r="DC26" i="1"/>
  <c r="DB26" i="1"/>
  <c r="DA26" i="1"/>
  <c r="CZ26" i="1"/>
  <c r="CY26" i="1"/>
  <c r="CX26" i="1"/>
  <c r="CW26" i="1"/>
  <c r="CV26" i="1"/>
  <c r="CU26" i="1"/>
  <c r="CT26" i="1"/>
  <c r="CS26" i="1"/>
  <c r="CR26" i="1"/>
  <c r="CQ26" i="1"/>
  <c r="CP26" i="1"/>
  <c r="CO26" i="1"/>
  <c r="CN26" i="1"/>
  <c r="CM26" i="1"/>
  <c r="CL26" i="1"/>
  <c r="CK26" i="1"/>
  <c r="CD26" i="1"/>
  <c r="CB26" i="1"/>
  <c r="BY26" i="1"/>
  <c r="BX26" i="1"/>
  <c r="BU26" i="1"/>
  <c r="AO26" i="1"/>
  <c r="AF26" i="1"/>
  <c r="X26" i="1"/>
  <c r="R26" i="1"/>
  <c r="D26" i="1"/>
  <c r="A26" i="1"/>
  <c r="CZ25" i="1"/>
  <c r="CY25" i="1"/>
  <c r="CX25" i="1"/>
  <c r="CW25" i="1"/>
  <c r="CV25" i="1"/>
  <c r="CU25" i="1"/>
  <c r="CT25" i="1"/>
  <c r="CS25" i="1"/>
  <c r="CR25" i="1"/>
  <c r="CQ25" i="1"/>
  <c r="CP25" i="1"/>
  <c r="CO25" i="1"/>
  <c r="CN25" i="1"/>
  <c r="CM25" i="1"/>
  <c r="CL25" i="1"/>
  <c r="CK25" i="1"/>
  <c r="CD25" i="1"/>
  <c r="CB25" i="1"/>
  <c r="BY25" i="1"/>
  <c r="BX25" i="1"/>
  <c r="BU25" i="1"/>
  <c r="AO25" i="1"/>
  <c r="AF25" i="1"/>
  <c r="X25" i="1"/>
  <c r="D25" i="1"/>
  <c r="A25" i="1"/>
  <c r="DT24" i="1"/>
  <c r="DS24" i="1"/>
  <c r="DR24" i="1"/>
  <c r="DQ24" i="1"/>
  <c r="DP24" i="1"/>
  <c r="DO24" i="1"/>
  <c r="DN24" i="1"/>
  <c r="DM24" i="1"/>
  <c r="DL24" i="1"/>
  <c r="DK24" i="1"/>
  <c r="DJ24" i="1"/>
  <c r="DI24" i="1"/>
  <c r="DH24" i="1"/>
  <c r="DG24" i="1"/>
  <c r="DF24" i="1"/>
  <c r="DE24" i="1"/>
  <c r="DD24" i="1"/>
  <c r="DC24" i="1"/>
  <c r="DB24" i="1"/>
  <c r="DA24" i="1"/>
  <c r="CZ24" i="1"/>
  <c r="CY24" i="1"/>
  <c r="CX24" i="1"/>
  <c r="CW24" i="1"/>
  <c r="CV24" i="1"/>
  <c r="CU24" i="1"/>
  <c r="CT24" i="1"/>
  <c r="CS24" i="1"/>
  <c r="CR24" i="1"/>
  <c r="CQ24" i="1"/>
  <c r="CP24" i="1"/>
  <c r="CO24" i="1"/>
  <c r="CN24" i="1"/>
  <c r="CM24" i="1"/>
  <c r="CL24" i="1"/>
  <c r="CK24" i="1"/>
  <c r="CD24" i="1"/>
  <c r="CB24" i="1"/>
  <c r="BY24" i="1"/>
  <c r="BX24" i="1"/>
  <c r="BU24" i="1"/>
  <c r="AO24" i="1"/>
  <c r="AF24" i="1"/>
  <c r="X24" i="1"/>
  <c r="D24" i="1"/>
  <c r="A24" i="1"/>
  <c r="CT23" i="1"/>
  <c r="CS23" i="1"/>
  <c r="CR23" i="1"/>
  <c r="CQ23" i="1"/>
  <c r="CD23" i="1"/>
  <c r="CB23" i="1"/>
  <c r="BY23" i="1"/>
  <c r="BX23" i="1"/>
  <c r="BU23" i="1"/>
  <c r="AO23" i="1"/>
  <c r="AF23" i="1"/>
  <c r="X23" i="1"/>
  <c r="D23" i="1"/>
  <c r="A23" i="1"/>
  <c r="CD20" i="1"/>
  <c r="CB20" i="1"/>
  <c r="BY20" i="1"/>
  <c r="BX20" i="1"/>
  <c r="BU20" i="1"/>
  <c r="AY20" i="1"/>
  <c r="AO20" i="1"/>
  <c r="AF20" i="1"/>
  <c r="X20" i="1"/>
  <c r="D20" i="1"/>
  <c r="A20" i="1"/>
  <c r="CD19" i="1"/>
  <c r="CB19" i="1"/>
  <c r="BY19" i="1"/>
  <c r="BX19" i="1"/>
  <c r="BU19" i="1"/>
  <c r="AY19" i="1"/>
  <c r="AO19" i="1"/>
  <c r="AF19" i="1"/>
  <c r="X19" i="1"/>
  <c r="D19" i="1"/>
  <c r="A19" i="1"/>
  <c r="DJ17" i="1"/>
  <c r="DI17" i="1"/>
  <c r="DH17" i="1"/>
  <c r="DG17" i="1"/>
  <c r="DF17" i="1"/>
  <c r="DE17" i="1"/>
  <c r="DD17" i="1"/>
  <c r="DC17" i="1"/>
  <c r="DB17" i="1"/>
  <c r="DA17" i="1"/>
  <c r="CZ17" i="1"/>
  <c r="CY17" i="1"/>
  <c r="CX17" i="1"/>
  <c r="CW17" i="1"/>
  <c r="CV17" i="1"/>
  <c r="CU17" i="1"/>
  <c r="CT17" i="1"/>
  <c r="CS17" i="1"/>
  <c r="CR17" i="1"/>
  <c r="CQ17" i="1"/>
  <c r="CP17" i="1"/>
  <c r="CO17" i="1"/>
  <c r="CN17" i="1"/>
  <c r="CM17" i="1"/>
  <c r="CL17" i="1"/>
  <c r="CK17" i="1"/>
  <c r="CD17" i="1"/>
  <c r="CB17" i="1"/>
  <c r="BY17" i="1"/>
  <c r="BX17" i="1"/>
  <c r="BU17" i="1"/>
  <c r="AY17" i="1"/>
  <c r="AO17" i="1"/>
  <c r="AF17" i="1"/>
  <c r="X17" i="1"/>
  <c r="D17" i="1"/>
  <c r="A17" i="1"/>
  <c r="DJ16" i="1"/>
  <c r="DI16" i="1"/>
  <c r="DH16" i="1"/>
  <c r="DG16" i="1"/>
  <c r="DF16" i="1"/>
  <c r="DE16" i="1"/>
  <c r="DD16" i="1"/>
  <c r="DC16" i="1"/>
  <c r="DB16" i="1"/>
  <c r="DA16" i="1"/>
  <c r="CZ16" i="1"/>
  <c r="CY16" i="1"/>
  <c r="CX16" i="1"/>
  <c r="CW16" i="1"/>
  <c r="CV16" i="1"/>
  <c r="CU16" i="1"/>
  <c r="CT16" i="1"/>
  <c r="CS16" i="1"/>
  <c r="CR16" i="1"/>
  <c r="CQ16" i="1"/>
  <c r="CP16" i="1"/>
  <c r="CO16" i="1"/>
  <c r="CN16" i="1"/>
  <c r="CM16" i="1"/>
  <c r="CL16" i="1"/>
  <c r="CK16" i="1"/>
  <c r="CD16" i="1"/>
  <c r="CB16" i="1"/>
  <c r="BY16" i="1"/>
  <c r="BX16" i="1"/>
  <c r="BU16" i="1"/>
  <c r="AY16" i="1"/>
  <c r="AO16" i="1"/>
  <c r="AF16" i="1"/>
  <c r="X16" i="1"/>
  <c r="D16" i="1"/>
  <c r="A16" i="1"/>
  <c r="DN14" i="1"/>
  <c r="DM14" i="1"/>
  <c r="DL14" i="1"/>
  <c r="DK14" i="1"/>
  <c r="DJ14" i="1"/>
  <c r="DI14" i="1"/>
  <c r="DH14" i="1"/>
  <c r="DG14" i="1"/>
  <c r="DF14" i="1"/>
  <c r="DE14" i="1"/>
  <c r="DD14" i="1"/>
  <c r="DC14" i="1"/>
  <c r="DB14" i="1"/>
  <c r="DA14" i="1"/>
  <c r="CZ14" i="1"/>
  <c r="CY14" i="1"/>
  <c r="CX14" i="1"/>
  <c r="CW14" i="1"/>
  <c r="CV14" i="1"/>
  <c r="CU14" i="1"/>
  <c r="CT14" i="1"/>
  <c r="CS14" i="1"/>
  <c r="CR14" i="1"/>
  <c r="CQ14" i="1"/>
  <c r="CP14" i="1"/>
  <c r="CO14" i="1"/>
  <c r="CN14" i="1"/>
  <c r="CM14" i="1"/>
  <c r="CL14" i="1"/>
  <c r="CK14" i="1"/>
  <c r="CD14" i="1"/>
  <c r="CB14" i="1"/>
  <c r="BY14" i="1"/>
  <c r="BX14" i="1"/>
  <c r="BU14" i="1"/>
  <c r="AY14" i="1"/>
  <c r="AO14" i="1"/>
  <c r="AF14" i="1"/>
  <c r="X14" i="1"/>
  <c r="D14" i="1"/>
  <c r="A14" i="1"/>
  <c r="CT13" i="1"/>
  <c r="CS13" i="1"/>
  <c r="CR13" i="1"/>
  <c r="CQ13" i="1"/>
  <c r="CP13" i="1"/>
  <c r="CO13" i="1"/>
  <c r="CN13" i="1"/>
  <c r="CM13" i="1"/>
  <c r="CL13" i="1"/>
  <c r="CK13" i="1"/>
  <c r="CD13" i="1"/>
  <c r="CB13" i="1"/>
  <c r="BY13" i="1"/>
  <c r="BX13" i="1"/>
  <c r="BU13" i="1"/>
  <c r="AO13" i="1"/>
  <c r="AF13" i="1"/>
  <c r="X13" i="1"/>
  <c r="R13" i="1"/>
  <c r="D13" i="1"/>
  <c r="A13" i="1"/>
  <c r="CZ12" i="1"/>
  <c r="CY12" i="1"/>
  <c r="CX12" i="1"/>
  <c r="CW12" i="1"/>
  <c r="CV12" i="1"/>
  <c r="CU12" i="1"/>
  <c r="CT12" i="1"/>
  <c r="CS12" i="1"/>
  <c r="CR12" i="1"/>
  <c r="CQ12" i="1"/>
  <c r="CP12" i="1"/>
  <c r="CO12" i="1"/>
  <c r="CN12" i="1"/>
  <c r="CM12" i="1"/>
  <c r="CL12" i="1"/>
  <c r="CK12" i="1"/>
  <c r="CD12" i="1"/>
  <c r="CB12" i="1"/>
  <c r="BY12" i="1"/>
  <c r="BX12" i="1"/>
  <c r="BU12" i="1"/>
  <c r="AO12" i="1"/>
  <c r="AF12" i="1"/>
  <c r="X12" i="1"/>
  <c r="D12" i="1"/>
  <c r="A12" i="1"/>
  <c r="DD11" i="1"/>
  <c r="DC11" i="1"/>
  <c r="DB11" i="1"/>
  <c r="DA11" i="1"/>
  <c r="CZ11" i="1"/>
  <c r="CY11" i="1"/>
  <c r="CX11" i="1"/>
  <c r="CW11" i="1"/>
  <c r="CV11" i="1"/>
  <c r="CU11" i="1"/>
  <c r="CT11" i="1"/>
  <c r="CS11" i="1"/>
  <c r="CR11" i="1"/>
  <c r="CQ11" i="1"/>
  <c r="CP11" i="1"/>
  <c r="CO11" i="1"/>
  <c r="CN11" i="1"/>
  <c r="CM11" i="1"/>
  <c r="CL11" i="1"/>
  <c r="CK11" i="1"/>
  <c r="CD11" i="1"/>
  <c r="CB11" i="1"/>
  <c r="BY11" i="1"/>
  <c r="BX11" i="1"/>
  <c r="BU11" i="1"/>
  <c r="AY11" i="1"/>
  <c r="AO11" i="1"/>
  <c r="AF11" i="1"/>
  <c r="X11" i="1"/>
  <c r="D11" i="1"/>
  <c r="A11" i="1"/>
  <c r="DN10" i="1"/>
  <c r="DM10" i="1"/>
  <c r="DL10" i="1"/>
  <c r="DK10" i="1"/>
  <c r="DJ10" i="1"/>
  <c r="DI10" i="1"/>
  <c r="DH10" i="1"/>
  <c r="DG10" i="1"/>
  <c r="DF10" i="1"/>
  <c r="DE10" i="1"/>
  <c r="DD10" i="1"/>
  <c r="DC10" i="1"/>
  <c r="DB10" i="1"/>
  <c r="DA10" i="1"/>
  <c r="CZ10" i="1"/>
  <c r="CY10" i="1"/>
  <c r="CX10" i="1"/>
  <c r="CW10" i="1"/>
  <c r="CV10" i="1"/>
  <c r="CU10" i="1"/>
  <c r="CT10" i="1"/>
  <c r="CS10" i="1"/>
  <c r="CR10" i="1"/>
  <c r="CQ10" i="1"/>
  <c r="CP10" i="1"/>
  <c r="CO10" i="1"/>
  <c r="CN10" i="1"/>
  <c r="CM10" i="1"/>
  <c r="CL10" i="1"/>
  <c r="CK10" i="1"/>
  <c r="CD10" i="1"/>
  <c r="CB10" i="1"/>
  <c r="BY10" i="1"/>
  <c r="BX10" i="1"/>
  <c r="BU10" i="1"/>
  <c r="AO10" i="1"/>
  <c r="AF10" i="1"/>
  <c r="X10" i="1"/>
  <c r="D10" i="1"/>
  <c r="A10" i="1"/>
  <c r="CT9" i="1"/>
  <c r="CS9" i="1"/>
  <c r="CR9" i="1"/>
  <c r="CQ9" i="1"/>
  <c r="CP9" i="1"/>
  <c r="CO9" i="1"/>
  <c r="CN9" i="1"/>
  <c r="CM9" i="1"/>
  <c r="CL9" i="1"/>
  <c r="CK9" i="1"/>
  <c r="CD9" i="1"/>
  <c r="CB9" i="1"/>
  <c r="BY9" i="1"/>
  <c r="BX9" i="1"/>
  <c r="BU9" i="1"/>
  <c r="AO9" i="1"/>
  <c r="AF9" i="1"/>
  <c r="X9" i="1"/>
  <c r="D9" i="1"/>
  <c r="A9" i="1"/>
  <c r="DD7" i="1"/>
  <c r="DC7" i="1"/>
  <c r="DB7" i="1"/>
  <c r="DA7" i="1"/>
  <c r="CZ7" i="1"/>
  <c r="CY7" i="1"/>
  <c r="CX7" i="1"/>
  <c r="CW7" i="1"/>
  <c r="CV7" i="1"/>
  <c r="CU7" i="1"/>
  <c r="CT7" i="1"/>
  <c r="CS7" i="1"/>
  <c r="CR7" i="1"/>
  <c r="CQ7" i="1"/>
  <c r="CP7" i="1"/>
  <c r="CO7" i="1"/>
  <c r="CN7" i="1"/>
  <c r="CM7" i="1"/>
  <c r="CL7" i="1"/>
  <c r="CK7" i="1"/>
  <c r="CD7" i="1"/>
  <c r="CB7" i="1"/>
  <c r="BY7" i="1"/>
  <c r="BX7" i="1"/>
  <c r="BU7" i="1"/>
  <c r="AY7" i="1"/>
  <c r="AO7" i="1"/>
  <c r="AF7" i="1"/>
  <c r="X7" i="1"/>
  <c r="D7" i="1"/>
  <c r="A7" i="1"/>
  <c r="DH6" i="1"/>
  <c r="DG6" i="1"/>
  <c r="DF6" i="1"/>
  <c r="DE6" i="1"/>
  <c r="DD6" i="1"/>
  <c r="DC6" i="1"/>
  <c r="DB6" i="1"/>
  <c r="DA6" i="1"/>
  <c r="CZ6" i="1"/>
  <c r="CY6" i="1"/>
  <c r="CX6" i="1"/>
  <c r="CW6" i="1"/>
  <c r="CV6" i="1"/>
  <c r="CU6" i="1"/>
  <c r="CT6" i="1"/>
  <c r="CS6" i="1"/>
  <c r="CR6" i="1"/>
  <c r="CQ6" i="1"/>
  <c r="CP6" i="1"/>
  <c r="CO6" i="1"/>
  <c r="CN6" i="1"/>
  <c r="CM6" i="1"/>
  <c r="CL6" i="1"/>
  <c r="CK6" i="1"/>
  <c r="CD6" i="1"/>
  <c r="CB6" i="1"/>
  <c r="BY6" i="1"/>
  <c r="BX6" i="1"/>
  <c r="BU6" i="1"/>
  <c r="AY6" i="1"/>
  <c r="AO6" i="1"/>
  <c r="AF6" i="1"/>
  <c r="X6" i="1"/>
  <c r="D6" i="1"/>
  <c r="A6" i="1"/>
  <c r="DH5" i="1"/>
  <c r="DG5" i="1"/>
  <c r="DF5" i="1"/>
  <c r="DE5" i="1"/>
  <c r="DD5" i="1"/>
  <c r="DC5" i="1"/>
  <c r="DB5" i="1"/>
  <c r="DA5" i="1"/>
  <c r="CZ5" i="1"/>
  <c r="CY5" i="1"/>
  <c r="CX5" i="1"/>
  <c r="CW5" i="1"/>
  <c r="CV5" i="1"/>
  <c r="CU5" i="1"/>
  <c r="CT5" i="1"/>
  <c r="CS5" i="1"/>
  <c r="CR5" i="1"/>
  <c r="CQ5" i="1"/>
  <c r="CP5" i="1"/>
  <c r="CO5" i="1"/>
  <c r="CN5" i="1"/>
  <c r="CM5" i="1"/>
  <c r="CL5" i="1"/>
  <c r="CK5" i="1"/>
  <c r="CD5" i="1"/>
  <c r="CB5" i="1"/>
  <c r="BY5" i="1"/>
  <c r="BX5" i="1"/>
  <c r="BU5" i="1"/>
  <c r="AY5" i="1"/>
  <c r="AO5" i="1"/>
  <c r="AF5" i="1"/>
  <c r="X5" i="1"/>
  <c r="D5" i="1"/>
  <c r="A5" i="1"/>
  <c r="A61" i="3" l="1"/>
  <c r="A46" i="3"/>
  <c r="A45" i="3"/>
  <c r="A60" i="3"/>
  <c r="A36" i="3"/>
  <c r="A58" i="3"/>
  <c r="A35" i="3"/>
  <c r="A57" i="3"/>
  <c r="A44" i="3"/>
  <c r="A56" i="3"/>
  <c r="A43" i="3"/>
  <c r="A42" i="3"/>
  <c r="A29" i="3"/>
  <c r="A28" i="3"/>
  <c r="A55" i="3"/>
  <c r="A27" i="3"/>
  <c r="A59" i="3"/>
  <c r="A34" i="3"/>
  <c r="A54" i="3"/>
  <c r="A53" i="3"/>
  <c r="A41" i="3"/>
  <c r="A40" i="3"/>
  <c r="A39" i="3"/>
  <c r="A33" i="3"/>
  <c r="A32" i="3"/>
  <c r="A25" i="3"/>
  <c r="A52" i="3"/>
  <c r="A51" i="3"/>
  <c r="A50" i="3"/>
  <c r="A49" i="3"/>
  <c r="A48" i="3"/>
  <c r="A47" i="3"/>
  <c r="A38" i="3"/>
  <c r="A37" i="3"/>
  <c r="A31" i="3"/>
  <c r="A30" i="3"/>
  <c r="A26" i="3"/>
  <c r="A11" i="3"/>
  <c r="A15" i="3"/>
  <c r="A19" i="3"/>
  <c r="A21" i="3"/>
  <c r="A23" i="3"/>
  <c r="A18" i="3"/>
  <c r="A7" i="3"/>
  <c r="A10" i="3"/>
  <c r="A17" i="3"/>
  <c r="A24" i="3"/>
  <c r="A5" i="3"/>
  <c r="A14" i="3"/>
  <c r="A6" i="3"/>
  <c r="A13" i="3"/>
  <c r="A3" i="3"/>
  <c r="A12" i="3"/>
  <c r="A4" i="3"/>
  <c r="A16" i="3"/>
  <c r="A20" i="3"/>
  <c r="A22" i="3"/>
  <c r="A9" i="3"/>
  <c r="A2" i="3"/>
  <c r="A8" i="3"/>
  <c r="B37" i="1"/>
  <c r="D2" i="2"/>
  <c r="B22" i="2"/>
  <c r="A22" i="2"/>
  <c r="B21" i="2" l="1"/>
  <c r="A21" i="2"/>
  <c r="AE37" i="1"/>
  <c r="AG23" i="1"/>
  <c r="X1" i="1"/>
  <c r="CE92" i="1"/>
  <c r="CC92" i="1"/>
  <c r="BZ92" i="1"/>
  <c r="BV92" i="1"/>
  <c r="BN92" i="1"/>
  <c r="BG92" i="1"/>
  <c r="AZ92" i="1"/>
  <c r="AP92" i="1"/>
  <c r="AH92" i="1"/>
  <c r="AG92" i="1"/>
  <c r="CE20" i="1"/>
  <c r="CC20" i="1"/>
  <c r="BZ20" i="1"/>
  <c r="BV20" i="1"/>
  <c r="BN20" i="1"/>
  <c r="BG20" i="1"/>
  <c r="AZ20" i="1"/>
  <c r="AP20" i="1"/>
  <c r="AH20" i="1"/>
  <c r="AG20" i="1"/>
  <c r="CE75" i="1"/>
  <c r="CC75" i="1"/>
  <c r="BZ75" i="1"/>
  <c r="BV75" i="1"/>
  <c r="BN75" i="1"/>
  <c r="BG75" i="1"/>
  <c r="AZ75" i="1"/>
  <c r="AP75" i="1"/>
  <c r="AH75" i="1"/>
  <c r="AG75" i="1"/>
  <c r="CE11" i="1"/>
  <c r="CC11" i="1"/>
  <c r="BZ11" i="1"/>
  <c r="BV11" i="1"/>
  <c r="BG11" i="1"/>
  <c r="BD11" i="1"/>
  <c r="AZ11" i="1"/>
  <c r="AP11" i="1"/>
  <c r="AH11" i="1"/>
  <c r="AG11" i="1"/>
  <c r="CE88" i="1"/>
  <c r="CC88" i="1"/>
  <c r="BZ88" i="1"/>
  <c r="BV88" i="1"/>
  <c r="BN88" i="1"/>
  <c r="BG88" i="1"/>
  <c r="AZ88" i="1"/>
  <c r="AP88" i="1"/>
  <c r="AH88" i="1"/>
  <c r="AG88" i="1"/>
  <c r="CE102" i="1"/>
  <c r="CC102" i="1"/>
  <c r="BZ102" i="1"/>
  <c r="BV102" i="1"/>
  <c r="BN102" i="1"/>
  <c r="BG102" i="1"/>
  <c r="AZ102" i="1"/>
  <c r="AP102" i="1"/>
  <c r="AH102" i="1"/>
  <c r="AG102" i="1"/>
  <c r="CE78" i="1"/>
  <c r="CC78" i="1"/>
  <c r="BZ78" i="1"/>
  <c r="BV78" i="1"/>
  <c r="BN78" i="1"/>
  <c r="BG78" i="1"/>
  <c r="AZ78" i="1"/>
  <c r="AP78" i="1"/>
  <c r="AH78" i="1"/>
  <c r="AG78" i="1"/>
  <c r="CE31" i="1"/>
  <c r="CC31" i="1"/>
  <c r="BV31" i="1"/>
  <c r="AP31" i="1"/>
  <c r="AH31" i="1"/>
  <c r="AG31" i="1"/>
  <c r="CE54" i="1"/>
  <c r="CC54" i="1"/>
  <c r="BZ54" i="1"/>
  <c r="BV54" i="1"/>
  <c r="BN54" i="1"/>
  <c r="BG54" i="1"/>
  <c r="AZ54" i="1"/>
  <c r="AP54" i="1"/>
  <c r="AH54" i="1"/>
  <c r="AG54" i="1"/>
  <c r="CE19" i="1"/>
  <c r="CC19" i="1"/>
  <c r="BZ19" i="1"/>
  <c r="BV19" i="1"/>
  <c r="BN19" i="1"/>
  <c r="BG19" i="1"/>
  <c r="AZ19" i="1"/>
  <c r="AP19" i="1"/>
  <c r="AH19" i="1"/>
  <c r="AG19" i="1"/>
  <c r="CE25" i="1"/>
  <c r="CC25" i="1"/>
  <c r="BZ25" i="1"/>
  <c r="BV25" i="1"/>
  <c r="AP25" i="1"/>
  <c r="AH25" i="1"/>
  <c r="AG25" i="1"/>
  <c r="CE66" i="1"/>
  <c r="CC66" i="1"/>
  <c r="BZ66" i="1"/>
  <c r="BV66" i="1"/>
  <c r="BN66" i="1"/>
  <c r="BG66" i="1"/>
  <c r="AZ66" i="1"/>
  <c r="AP66" i="1"/>
  <c r="AH66" i="1"/>
  <c r="AG66" i="1"/>
  <c r="CE34" i="1"/>
  <c r="CC34" i="1"/>
  <c r="AP34" i="1"/>
  <c r="AH34" i="1"/>
  <c r="AG34" i="1"/>
  <c r="CE87" i="1"/>
  <c r="CC87" i="1"/>
  <c r="BZ87" i="1"/>
  <c r="BV87" i="1"/>
  <c r="BN87" i="1"/>
  <c r="BG87" i="1"/>
  <c r="AZ87" i="1"/>
  <c r="AP87" i="1"/>
  <c r="AH87" i="1"/>
  <c r="AG87" i="1"/>
  <c r="CE79" i="1"/>
  <c r="CC79" i="1"/>
  <c r="BZ79" i="1"/>
  <c r="BV79" i="1"/>
  <c r="BN79" i="1"/>
  <c r="BG79" i="1"/>
  <c r="AZ79" i="1"/>
  <c r="AP79" i="1"/>
  <c r="AH79" i="1"/>
  <c r="AG79" i="1"/>
  <c r="CE7" i="1"/>
  <c r="CC7" i="1"/>
  <c r="BZ7" i="1"/>
  <c r="BV7" i="1"/>
  <c r="BN7" i="1"/>
  <c r="BG7" i="1"/>
  <c r="BD7" i="1"/>
  <c r="AZ7" i="1"/>
  <c r="AP7" i="1"/>
  <c r="AH7" i="1"/>
  <c r="AG7" i="1"/>
  <c r="CE72" i="1"/>
  <c r="CC72" i="1"/>
  <c r="BZ72" i="1"/>
  <c r="BV72" i="1"/>
  <c r="BN72" i="1"/>
  <c r="BG72" i="1"/>
  <c r="AZ72" i="1"/>
  <c r="AP72" i="1"/>
  <c r="AH72" i="1"/>
  <c r="AG72" i="1"/>
  <c r="CE76" i="1"/>
  <c r="CC76" i="1"/>
  <c r="BZ76" i="1"/>
  <c r="BV76" i="1"/>
  <c r="BN76" i="1"/>
  <c r="BG76" i="1"/>
  <c r="AZ76" i="1"/>
  <c r="AP76" i="1"/>
  <c r="AH76" i="1"/>
  <c r="AG76" i="1"/>
  <c r="CE17" i="1"/>
  <c r="CC17" i="1"/>
  <c r="BZ17" i="1"/>
  <c r="BV17" i="1"/>
  <c r="BN17" i="1"/>
  <c r="BG17" i="1"/>
  <c r="AZ17" i="1"/>
  <c r="AP17" i="1"/>
  <c r="AH17" i="1"/>
  <c r="AG17" i="1"/>
  <c r="CE16" i="1"/>
  <c r="CC16" i="1"/>
  <c r="BZ16" i="1"/>
  <c r="BV16" i="1"/>
  <c r="BN16" i="1"/>
  <c r="BG16" i="1"/>
  <c r="AZ16" i="1"/>
  <c r="AP16" i="1"/>
  <c r="AH16" i="1"/>
  <c r="AG16" i="1"/>
  <c r="CE9" i="1"/>
  <c r="CC9" i="1"/>
  <c r="BZ9" i="1"/>
  <c r="BV9" i="1"/>
  <c r="AP9" i="1"/>
  <c r="AH9" i="1"/>
  <c r="AG9" i="1"/>
  <c r="CE36" i="1"/>
  <c r="CC36" i="1"/>
  <c r="BZ36" i="1"/>
  <c r="BV36" i="1"/>
  <c r="AP36" i="1"/>
  <c r="AH36" i="1"/>
  <c r="AG36" i="1"/>
  <c r="CE14" i="1"/>
  <c r="CC14" i="1"/>
  <c r="BZ14" i="1"/>
  <c r="BV14" i="1"/>
  <c r="BG14" i="1"/>
  <c r="BD14" i="1"/>
  <c r="AZ14" i="1"/>
  <c r="AP14" i="1"/>
  <c r="AH14" i="1"/>
  <c r="AG14" i="1"/>
  <c r="CE10" i="1"/>
  <c r="CC10" i="1"/>
  <c r="BZ10" i="1"/>
  <c r="BV10" i="1"/>
  <c r="AP10" i="1"/>
  <c r="AH10" i="1"/>
  <c r="AG10" i="1"/>
  <c r="CE55" i="1"/>
  <c r="CC55" i="1"/>
  <c r="BZ55" i="1"/>
  <c r="BV55" i="1"/>
  <c r="BN55" i="1"/>
  <c r="BG55" i="1"/>
  <c r="AZ55" i="1"/>
  <c r="AP55" i="1"/>
  <c r="AH55" i="1"/>
  <c r="AG55" i="1"/>
  <c r="CE70" i="1"/>
  <c r="CC70" i="1"/>
  <c r="BZ70" i="1"/>
  <c r="BV70" i="1"/>
  <c r="BN70" i="1"/>
  <c r="BG70" i="1"/>
  <c r="AZ70" i="1"/>
  <c r="AP70" i="1"/>
  <c r="AH70" i="1"/>
  <c r="AG70" i="1"/>
  <c r="CE24" i="1"/>
  <c r="CC24" i="1"/>
  <c r="BZ24" i="1"/>
  <c r="BV24" i="1"/>
  <c r="AP24" i="1"/>
  <c r="AH24" i="1"/>
  <c r="AG24" i="1"/>
  <c r="CE38" i="1"/>
  <c r="CC38" i="1"/>
  <c r="BZ38" i="1"/>
  <c r="BV38" i="1"/>
  <c r="AP38" i="1"/>
  <c r="AH38" i="1"/>
  <c r="AG38" i="1"/>
  <c r="CE13" i="1"/>
  <c r="CC13" i="1"/>
  <c r="BZ13" i="1"/>
  <c r="BV13" i="1"/>
  <c r="AP13" i="1"/>
  <c r="AH13" i="1"/>
  <c r="AG13" i="1"/>
  <c r="CE104" i="1"/>
  <c r="CC104" i="1"/>
  <c r="BZ104" i="1"/>
  <c r="BV104" i="1"/>
  <c r="BN104" i="1"/>
  <c r="BD104" i="1"/>
  <c r="AZ104" i="1"/>
  <c r="AP104" i="1"/>
  <c r="AH104" i="1"/>
  <c r="AG104" i="1"/>
  <c r="CE49" i="1"/>
  <c r="CC49" i="1"/>
  <c r="BZ49" i="1"/>
  <c r="BV49" i="1"/>
  <c r="BN49" i="1"/>
  <c r="BG49" i="1"/>
  <c r="AZ49" i="1"/>
  <c r="AP49" i="1"/>
  <c r="AH49" i="1"/>
  <c r="AG49" i="1"/>
  <c r="CE48" i="1"/>
  <c r="CC48" i="1"/>
  <c r="BZ48" i="1"/>
  <c r="BV48" i="1"/>
  <c r="BN48" i="1"/>
  <c r="BG48" i="1"/>
  <c r="AZ48" i="1"/>
  <c r="AP48" i="1"/>
  <c r="AH48" i="1"/>
  <c r="AG48" i="1"/>
  <c r="CE51" i="1"/>
  <c r="CC51" i="1"/>
  <c r="BZ51" i="1"/>
  <c r="BV51" i="1"/>
  <c r="BN51" i="1"/>
  <c r="BG51" i="1"/>
  <c r="AZ51" i="1"/>
  <c r="AP51" i="1"/>
  <c r="AH51" i="1"/>
  <c r="AG51" i="1"/>
  <c r="CE73" i="1"/>
  <c r="CC73" i="1"/>
  <c r="BZ73" i="1"/>
  <c r="BV73" i="1"/>
  <c r="BN73" i="1"/>
  <c r="BG73" i="1"/>
  <c r="AZ73" i="1"/>
  <c r="AP73" i="1"/>
  <c r="AH73" i="1"/>
  <c r="AG73" i="1"/>
  <c r="CE96" i="1"/>
  <c r="CC96" i="1"/>
  <c r="BZ96" i="1"/>
  <c r="BV96" i="1"/>
  <c r="BN96" i="1"/>
  <c r="BG96" i="1"/>
  <c r="AZ96" i="1"/>
  <c r="AP96" i="1"/>
  <c r="AH96" i="1"/>
  <c r="AG96" i="1"/>
  <c r="CE95" i="1"/>
  <c r="CC95" i="1"/>
  <c r="BZ95" i="1"/>
  <c r="BV95" i="1"/>
  <c r="BN95" i="1"/>
  <c r="BG95" i="1"/>
  <c r="AZ95" i="1"/>
  <c r="AP95" i="1"/>
  <c r="AH95" i="1"/>
  <c r="AG95" i="1"/>
  <c r="CE86" i="1"/>
  <c r="CC86" i="1"/>
  <c r="BZ86" i="1"/>
  <c r="BV86" i="1"/>
  <c r="BN86" i="1"/>
  <c r="BG86" i="1"/>
  <c r="AZ86" i="1"/>
  <c r="AP86" i="1"/>
  <c r="AH86" i="1"/>
  <c r="AG86" i="1"/>
  <c r="CE91" i="1"/>
  <c r="CC91" i="1"/>
  <c r="BZ91" i="1"/>
  <c r="BV91" i="1"/>
  <c r="BN91" i="1"/>
  <c r="BG91" i="1"/>
  <c r="AZ91" i="1"/>
  <c r="AP91" i="1"/>
  <c r="AH91" i="1"/>
  <c r="AG91" i="1"/>
  <c r="CE93" i="1"/>
  <c r="CC93" i="1"/>
  <c r="BZ93" i="1"/>
  <c r="BV93" i="1"/>
  <c r="BN93" i="1"/>
  <c r="BG93" i="1"/>
  <c r="AZ93" i="1"/>
  <c r="AP93" i="1"/>
  <c r="AH93" i="1"/>
  <c r="AG93" i="1"/>
  <c r="CE35" i="1"/>
  <c r="CC35" i="1"/>
  <c r="BZ35" i="1"/>
  <c r="BV35" i="1"/>
  <c r="AP35" i="1"/>
  <c r="AH35" i="1"/>
  <c r="AG35" i="1"/>
  <c r="CE61" i="1"/>
  <c r="CC61" i="1"/>
  <c r="BZ61" i="1"/>
  <c r="BV61" i="1"/>
  <c r="BN61" i="1"/>
  <c r="BG61" i="1"/>
  <c r="AZ61" i="1"/>
  <c r="AP61" i="1"/>
  <c r="AH61" i="1"/>
  <c r="AG61" i="1"/>
  <c r="CE45" i="1"/>
  <c r="CC45" i="1"/>
  <c r="BZ45" i="1"/>
  <c r="BV45" i="1"/>
  <c r="BN45" i="1"/>
  <c r="BG45" i="1"/>
  <c r="AZ45" i="1"/>
  <c r="AP45" i="1"/>
  <c r="AH45" i="1"/>
  <c r="AG45" i="1"/>
  <c r="CE97" i="1"/>
  <c r="CC97" i="1"/>
  <c r="BZ97" i="1"/>
  <c r="BV97" i="1"/>
  <c r="BN97" i="1"/>
  <c r="BG97" i="1"/>
  <c r="AZ97" i="1"/>
  <c r="AP97" i="1"/>
  <c r="AH97" i="1"/>
  <c r="AG97" i="1"/>
  <c r="CE60" i="1"/>
  <c r="CC60" i="1"/>
  <c r="BZ60" i="1"/>
  <c r="BV60" i="1"/>
  <c r="BN60" i="1"/>
  <c r="BG60" i="1"/>
  <c r="AZ60" i="1"/>
  <c r="AP60" i="1"/>
  <c r="AH60" i="1"/>
  <c r="AG60" i="1"/>
  <c r="CE44" i="1"/>
  <c r="CC44" i="1"/>
  <c r="BZ44" i="1"/>
  <c r="BV44" i="1"/>
  <c r="BN44" i="1"/>
  <c r="BG44" i="1"/>
  <c r="AZ44" i="1"/>
  <c r="AP44" i="1"/>
  <c r="AH44" i="1"/>
  <c r="AG44" i="1"/>
  <c r="CE62" i="1"/>
  <c r="CC62" i="1"/>
  <c r="BZ62" i="1"/>
  <c r="BV62" i="1"/>
  <c r="BN62" i="1"/>
  <c r="BG62" i="1"/>
  <c r="AZ62" i="1"/>
  <c r="AP62" i="1"/>
  <c r="AH62" i="1"/>
  <c r="AG62" i="1"/>
  <c r="CE68" i="1"/>
  <c r="CC68" i="1"/>
  <c r="BZ68" i="1"/>
  <c r="BV68" i="1"/>
  <c r="BN68" i="1"/>
  <c r="BG68" i="1"/>
  <c r="AZ68" i="1"/>
  <c r="AP68" i="1"/>
  <c r="AH68" i="1"/>
  <c r="AG68" i="1"/>
  <c r="CE63" i="1"/>
  <c r="CC63" i="1"/>
  <c r="BZ63" i="1"/>
  <c r="BV63" i="1"/>
  <c r="BN63" i="1"/>
  <c r="BG63" i="1"/>
  <c r="AZ63" i="1"/>
  <c r="AP63" i="1"/>
  <c r="AH63" i="1"/>
  <c r="AG63" i="1"/>
  <c r="CE46" i="1"/>
  <c r="CC46" i="1"/>
  <c r="BZ46" i="1"/>
  <c r="BV46" i="1"/>
  <c r="BN46" i="1"/>
  <c r="BG46" i="1"/>
  <c r="AZ46" i="1"/>
  <c r="AP46" i="1"/>
  <c r="AH46" i="1"/>
  <c r="AG46" i="1"/>
  <c r="CE89" i="1"/>
  <c r="CC89" i="1"/>
  <c r="BZ89" i="1"/>
  <c r="BV89" i="1"/>
  <c r="BN89" i="1"/>
  <c r="BG89" i="1"/>
  <c r="AZ89" i="1"/>
  <c r="AP89" i="1"/>
  <c r="AH89" i="1"/>
  <c r="AG89" i="1"/>
  <c r="CE53" i="1"/>
  <c r="CC53" i="1"/>
  <c r="BZ53" i="1"/>
  <c r="BV53" i="1"/>
  <c r="BN53" i="1"/>
  <c r="BG53" i="1"/>
  <c r="AZ53" i="1"/>
  <c r="AP53" i="1"/>
  <c r="AH53" i="1"/>
  <c r="AG53" i="1"/>
  <c r="CE52" i="1"/>
  <c r="CC52" i="1"/>
  <c r="BZ52" i="1"/>
  <c r="BV52" i="1"/>
  <c r="BN52" i="1"/>
  <c r="BG52" i="1"/>
  <c r="AZ52" i="1"/>
  <c r="AP52" i="1"/>
  <c r="AH52" i="1"/>
  <c r="AG52" i="1"/>
  <c r="CE47" i="1"/>
  <c r="CC47" i="1"/>
  <c r="BZ47" i="1"/>
  <c r="BV47" i="1"/>
  <c r="BN47" i="1"/>
  <c r="BG47" i="1"/>
  <c r="AZ47" i="1"/>
  <c r="AP47" i="1"/>
  <c r="AH47" i="1"/>
  <c r="AG47" i="1"/>
  <c r="CE23" i="1"/>
  <c r="CC23" i="1"/>
  <c r="BZ23" i="1"/>
  <c r="BV23" i="1"/>
  <c r="AP23" i="1"/>
  <c r="AH23" i="1"/>
  <c r="CE56" i="1"/>
  <c r="CC56" i="1"/>
  <c r="BZ56" i="1"/>
  <c r="BV56" i="1"/>
  <c r="BN56" i="1"/>
  <c r="BG56" i="1"/>
  <c r="AZ56" i="1"/>
  <c r="AP56" i="1"/>
  <c r="AH56" i="1"/>
  <c r="AG56" i="1"/>
  <c r="CE58" i="1"/>
  <c r="CC58" i="1"/>
  <c r="BZ58" i="1"/>
  <c r="BV58" i="1"/>
  <c r="BN58" i="1"/>
  <c r="BG58" i="1"/>
  <c r="AZ58" i="1"/>
  <c r="AP58" i="1"/>
  <c r="AH58" i="1"/>
  <c r="AG58" i="1"/>
  <c r="CE94" i="1"/>
  <c r="CC94" i="1"/>
  <c r="BZ94" i="1"/>
  <c r="BV94" i="1"/>
  <c r="BN94" i="1"/>
  <c r="BG94" i="1"/>
  <c r="AZ94" i="1"/>
  <c r="AP94" i="1"/>
  <c r="AH94" i="1"/>
  <c r="AG94" i="1"/>
  <c r="CE28" i="1"/>
  <c r="CC28" i="1"/>
  <c r="BZ28" i="1"/>
  <c r="BV28" i="1"/>
  <c r="AP28" i="1"/>
  <c r="AH28" i="1"/>
  <c r="AG28" i="1"/>
  <c r="CE100" i="1"/>
  <c r="CC100" i="1"/>
  <c r="BZ100" i="1"/>
  <c r="BV100" i="1"/>
  <c r="BN100" i="1"/>
  <c r="BG100" i="1"/>
  <c r="AZ100" i="1"/>
  <c r="AP100" i="1"/>
  <c r="AH100" i="1"/>
  <c r="AG100" i="1"/>
  <c r="CE67" i="1"/>
  <c r="CC67" i="1"/>
  <c r="BZ67" i="1"/>
  <c r="BV67" i="1"/>
  <c r="BN67" i="1"/>
  <c r="BG67" i="1"/>
  <c r="AZ67" i="1"/>
  <c r="AP67" i="1"/>
  <c r="AH67" i="1"/>
  <c r="AG67" i="1"/>
  <c r="CE42" i="1"/>
  <c r="CC42" i="1"/>
  <c r="BZ42" i="1"/>
  <c r="BV42" i="1"/>
  <c r="BN42" i="1"/>
  <c r="BG42" i="1"/>
  <c r="AZ42" i="1"/>
  <c r="AP42" i="1"/>
  <c r="AH42" i="1"/>
  <c r="AG42" i="1"/>
  <c r="CE59" i="1"/>
  <c r="CC59" i="1"/>
  <c r="BZ59" i="1"/>
  <c r="BV59" i="1"/>
  <c r="BN59" i="1"/>
  <c r="BG59" i="1"/>
  <c r="AZ59" i="1"/>
  <c r="AP59" i="1"/>
  <c r="AH59" i="1"/>
  <c r="AG59" i="1"/>
  <c r="CE27" i="1"/>
  <c r="CC27" i="1"/>
  <c r="BV27" i="1"/>
  <c r="AP27" i="1"/>
  <c r="AH27" i="1"/>
  <c r="AG27" i="1"/>
  <c r="CE43" i="1"/>
  <c r="CC43" i="1"/>
  <c r="BZ43" i="1"/>
  <c r="BV43" i="1"/>
  <c r="BN43" i="1"/>
  <c r="BG43" i="1"/>
  <c r="AZ43" i="1"/>
  <c r="AP43" i="1"/>
  <c r="AH43" i="1"/>
  <c r="AG43" i="1"/>
  <c r="CE85" i="1"/>
  <c r="CC85" i="1"/>
  <c r="BZ85" i="1"/>
  <c r="BV85" i="1"/>
  <c r="BN85" i="1"/>
  <c r="BG85" i="1"/>
  <c r="AZ85" i="1"/>
  <c r="AP85" i="1"/>
  <c r="AH85" i="1"/>
  <c r="AG85" i="1"/>
  <c r="CE84" i="1"/>
  <c r="CC84" i="1"/>
  <c r="BZ84" i="1"/>
  <c r="BV84" i="1"/>
  <c r="BN84" i="1"/>
  <c r="BG84" i="1"/>
  <c r="AZ84" i="1"/>
  <c r="AP84" i="1"/>
  <c r="AH84" i="1"/>
  <c r="AG84" i="1"/>
  <c r="CE65" i="1"/>
  <c r="CC65" i="1"/>
  <c r="BZ65" i="1"/>
  <c r="BV65" i="1"/>
  <c r="BN65" i="1"/>
  <c r="BG65" i="1"/>
  <c r="AZ65" i="1"/>
  <c r="AP65" i="1"/>
  <c r="AH65" i="1"/>
  <c r="AG65" i="1"/>
  <c r="CE29" i="1"/>
  <c r="CC29" i="1"/>
  <c r="BZ29" i="1"/>
  <c r="BV29" i="1"/>
  <c r="AP29" i="1"/>
  <c r="AH29" i="1"/>
  <c r="AG29" i="1"/>
  <c r="CE71" i="1"/>
  <c r="CC71" i="1"/>
  <c r="BZ71" i="1"/>
  <c r="BV71" i="1"/>
  <c r="BN71" i="1"/>
  <c r="BG71" i="1"/>
  <c r="AZ71" i="1"/>
  <c r="AP71" i="1"/>
  <c r="AH71" i="1"/>
  <c r="AG71" i="1"/>
  <c r="CE80" i="1"/>
  <c r="CC80" i="1"/>
  <c r="BZ80" i="1"/>
  <c r="BV80" i="1"/>
  <c r="BN80" i="1"/>
  <c r="BG80" i="1"/>
  <c r="AZ80" i="1"/>
  <c r="AP80" i="1"/>
  <c r="AH80" i="1"/>
  <c r="AG80" i="1"/>
  <c r="CE41" i="1"/>
  <c r="CC41" i="1"/>
  <c r="BZ41" i="1"/>
  <c r="BV41" i="1"/>
  <c r="BN41" i="1"/>
  <c r="BG41" i="1"/>
  <c r="AZ41" i="1"/>
  <c r="AP41" i="1"/>
  <c r="AH41" i="1"/>
  <c r="AG41" i="1"/>
  <c r="CE26" i="1"/>
  <c r="CC26" i="1"/>
  <c r="BZ26" i="1"/>
  <c r="BV26" i="1"/>
  <c r="AP26" i="1"/>
  <c r="AH26" i="1"/>
  <c r="AG26" i="1"/>
  <c r="CE57" i="1"/>
  <c r="CC57" i="1"/>
  <c r="BZ57" i="1"/>
  <c r="BV57" i="1"/>
  <c r="BN57" i="1"/>
  <c r="BG57" i="1"/>
  <c r="AZ57" i="1"/>
  <c r="AP57" i="1"/>
  <c r="AH57" i="1"/>
  <c r="AG57" i="1"/>
  <c r="CE83" i="1"/>
  <c r="CC83" i="1"/>
  <c r="BZ83" i="1"/>
  <c r="BV83" i="1"/>
  <c r="BN83" i="1"/>
  <c r="BG83" i="1"/>
  <c r="AZ83" i="1"/>
  <c r="AP83" i="1"/>
  <c r="AH83" i="1"/>
  <c r="AG83" i="1"/>
  <c r="CE81" i="1"/>
  <c r="CC81" i="1"/>
  <c r="BZ81" i="1"/>
  <c r="BV81" i="1"/>
  <c r="BN81" i="1"/>
  <c r="BG81" i="1"/>
  <c r="AZ81" i="1"/>
  <c r="AP81" i="1"/>
  <c r="AH81" i="1"/>
  <c r="AG81" i="1"/>
  <c r="CE90" i="1"/>
  <c r="CC90" i="1"/>
  <c r="BZ90" i="1"/>
  <c r="BV90" i="1"/>
  <c r="BN90" i="1"/>
  <c r="BG90" i="1"/>
  <c r="AZ90" i="1"/>
  <c r="AP90" i="1"/>
  <c r="AH90" i="1"/>
  <c r="AG90" i="1"/>
  <c r="CE82" i="1"/>
  <c r="CC82" i="1"/>
  <c r="BZ82" i="1"/>
  <c r="BV82" i="1"/>
  <c r="BN82" i="1"/>
  <c r="BG82" i="1"/>
  <c r="AZ82" i="1"/>
  <c r="AP82" i="1"/>
  <c r="AH82" i="1"/>
  <c r="AG82" i="1"/>
  <c r="CE69" i="1"/>
  <c r="CC69" i="1"/>
  <c r="BZ69" i="1"/>
  <c r="BV69" i="1"/>
  <c r="BN69" i="1"/>
  <c r="BG69" i="1"/>
  <c r="AZ69" i="1"/>
  <c r="AP69" i="1"/>
  <c r="AH69" i="1"/>
  <c r="AG69" i="1"/>
  <c r="CE5" i="1"/>
  <c r="CC5" i="1"/>
  <c r="BZ5" i="1"/>
  <c r="BV5" i="1"/>
  <c r="BN5" i="1"/>
  <c r="BG5" i="1"/>
  <c r="BE5" i="1"/>
  <c r="BD5" i="1"/>
  <c r="AZ5" i="1"/>
  <c r="AP5" i="1"/>
  <c r="AH5" i="1"/>
  <c r="AG5" i="1"/>
  <c r="CE33" i="1"/>
  <c r="CC33" i="1"/>
  <c r="BZ33" i="1"/>
  <c r="BV33" i="1"/>
  <c r="AP33" i="1"/>
  <c r="AH33" i="1"/>
  <c r="AG33" i="1"/>
  <c r="CE12" i="1"/>
  <c r="CC12" i="1"/>
  <c r="BZ12" i="1"/>
  <c r="BV12" i="1"/>
  <c r="AP12" i="1"/>
  <c r="AH12" i="1"/>
  <c r="AG12" i="1"/>
  <c r="CE6" i="1"/>
  <c r="CC6" i="1"/>
  <c r="BZ6" i="1"/>
  <c r="BV6" i="1"/>
  <c r="BE6" i="1"/>
  <c r="BD6" i="1"/>
  <c r="AZ6" i="1"/>
  <c r="AP6" i="1"/>
  <c r="AH6" i="1"/>
  <c r="AG6" i="1"/>
  <c r="CE98" i="1"/>
  <c r="CC98" i="1"/>
  <c r="BZ98" i="1"/>
  <c r="BV98" i="1"/>
  <c r="BN98" i="1"/>
  <c r="BG98" i="1"/>
  <c r="AZ98" i="1"/>
  <c r="AP98" i="1"/>
  <c r="AH98" i="1"/>
  <c r="AG98" i="1"/>
  <c r="CE74" i="1"/>
  <c r="CC74" i="1"/>
  <c r="BZ74" i="1"/>
  <c r="BV74" i="1"/>
  <c r="BN74" i="1"/>
  <c r="BG74" i="1"/>
  <c r="AZ74" i="1"/>
  <c r="AP74" i="1"/>
  <c r="AH74" i="1"/>
  <c r="AG74" i="1"/>
  <c r="CE50" i="1"/>
  <c r="CC50" i="1"/>
  <c r="BZ50" i="1"/>
  <c r="BV50" i="1"/>
  <c r="BN50" i="1"/>
  <c r="BG50" i="1"/>
  <c r="AZ50" i="1"/>
  <c r="AP50" i="1"/>
  <c r="AH50" i="1"/>
  <c r="AG50" i="1"/>
  <c r="CE77" i="1"/>
  <c r="CC77" i="1"/>
  <c r="BZ77" i="1"/>
  <c r="BV77" i="1"/>
  <c r="BN77" i="1"/>
  <c r="BG77" i="1"/>
  <c r="AZ77" i="1"/>
  <c r="AP77" i="1"/>
  <c r="AH77" i="1"/>
  <c r="AG77" i="1"/>
  <c r="CE64" i="1"/>
  <c r="CC64" i="1"/>
  <c r="BZ64" i="1"/>
  <c r="BV64" i="1"/>
  <c r="BN64" i="1"/>
  <c r="BG64" i="1"/>
  <c r="AZ64" i="1"/>
  <c r="AP64" i="1"/>
  <c r="AH64" i="1"/>
  <c r="AG64" i="1"/>
</calcChain>
</file>

<file path=xl/sharedStrings.xml><?xml version="1.0" encoding="utf-8"?>
<sst xmlns="http://schemas.openxmlformats.org/spreadsheetml/2006/main" count="4097" uniqueCount="605">
  <si>
    <t>Seq size</t>
  </si>
  <si>
    <t>%X</t>
  </si>
  <si>
    <t>14 N's?</t>
  </si>
  <si>
    <t>*</t>
  </si>
  <si>
    <t>A</t>
  </si>
  <si>
    <t>G</t>
  </si>
  <si>
    <t>Y</t>
  </si>
  <si>
    <t xml:space="preserve"> </t>
  </si>
  <si>
    <t>T</t>
  </si>
  <si>
    <t>M</t>
  </si>
  <si>
    <t>P</t>
  </si>
  <si>
    <t>R</t>
  </si>
  <si>
    <t>H</t>
  </si>
  <si>
    <t>S</t>
  </si>
  <si>
    <t>K</t>
  </si>
  <si>
    <t>V</t>
  </si>
  <si>
    <t>E</t>
  </si>
  <si>
    <t>Pep name and link</t>
  </si>
  <si>
    <t>CDS  name and link</t>
  </si>
  <si>
    <t>First codon</t>
  </si>
  <si>
    <t>Stop codon exists? (*)</t>
  </si>
  <si>
    <t>Best match to NR protein database</t>
  </si>
  <si>
    <t>E value</t>
  </si>
  <si>
    <t>Match</t>
  </si>
  <si>
    <t>Score</t>
  </si>
  <si>
    <t>Extent of match</t>
  </si>
  <si>
    <t>Length of best match</t>
  </si>
  <si>
    <t>% identity</t>
  </si>
  <si>
    <t>% Coverage</t>
  </si>
  <si>
    <t xml:space="preserve">Species of best match </t>
  </si>
  <si>
    <t>Best match to SWISSP protein database</t>
  </si>
  <si>
    <t>Best match to GO database</t>
  </si>
  <si>
    <t>GO function</t>
  </si>
  <si>
    <t>Function</t>
  </si>
  <si>
    <t>Definition</t>
  </si>
  <si>
    <t>Synonym</t>
  </si>
  <si>
    <t>EC number</t>
  </si>
  <si>
    <t>KEGG</t>
  </si>
  <si>
    <t>GO component</t>
  </si>
  <si>
    <t>Component</t>
  </si>
  <si>
    <t>GO process</t>
  </si>
  <si>
    <t>Process</t>
  </si>
  <si>
    <t>Best match to KOG database</t>
  </si>
  <si>
    <t>General class</t>
  </si>
  <si>
    <t xml:space="preserve">Best match </t>
  </si>
  <si>
    <t>Best match to CDD database</t>
  </si>
  <si>
    <t xml:space="preserve">All CDD domains </t>
  </si>
  <si>
    <t>Best match to PFAM database</t>
  </si>
  <si>
    <t xml:space="preserve">E value </t>
  </si>
  <si>
    <t>Best match to SMART database</t>
  </si>
  <si>
    <t>Best match to TE-CLASS database</t>
  </si>
  <si>
    <t>Manduca sexta</t>
  </si>
  <si>
    <t>Drosophila melanogaster</t>
  </si>
  <si>
    <t>structural constituent of ribosome</t>
  </si>
  <si>
    <t>The action of a molecule that contributes to the structural integrity of the ribosome.  [GOC:mah]</t>
  </si>
  <si>
    <t>ribosomal protein  BROAD []</t>
  </si>
  <si>
    <t>cytosolic large ribosomal subunit</t>
  </si>
  <si>
    <t>The large subunit of a ribosome located in the cytosol.  [GOC:mtg_sensu]</t>
  </si>
  <si>
    <t>50S ribosomal subunit  NARROW []</t>
  </si>
  <si>
    <t>translation</t>
  </si>
  <si>
    <t>The cellular metabolic process in which a protein is formed, using the sequence of a mature mRNA molecule to specify the sequence of amino acids in a polypeptide chain. Translation is mediated by the ribosome, and begins with the formation of a ternary complex between aminoacylated initiator methionine tRNA, GTP, and initiation factor 2, which subsequently associates with the small subunit of the ribosome and an mRNA. Translation ends with the release of a polypeptide chain from the ribosome.  [GOC:go_curators]</t>
  </si>
  <si>
    <t>protein anabolism  EXACT []</t>
  </si>
  <si>
    <t>Translation, ribosomal structure and biogenesis</t>
  </si>
  <si>
    <t>Xenopsylla cheopis</t>
  </si>
  <si>
    <t>Drosophila grimshawi</t>
  </si>
  <si>
    <t>Rattus norvegicus</t>
  </si>
  <si>
    <t>Homo sapiens</t>
  </si>
  <si>
    <t>Biphyllus lunatus</t>
  </si>
  <si>
    <t>Spodoptera frugiperda</t>
  </si>
  <si>
    <t>cytoplasm</t>
  </si>
  <si>
    <t>All of the contents of a cell excluding the plasma membrane and nucleus, but including other subcellular structures.  [ISBN:0198547684]</t>
  </si>
  <si>
    <t>General function prediction only</t>
  </si>
  <si>
    <t>Tribolium castaneum</t>
  </si>
  <si>
    <t>Function unknown</t>
  </si>
  <si>
    <t>Intracellular trafficking, secretion, and vesicular transport</t>
  </si>
  <si>
    <t>Apis mellifera</t>
  </si>
  <si>
    <t>Drosophila willistoni</t>
  </si>
  <si>
    <t>sp|P55935|RS9_DROME</t>
  </si>
  <si>
    <t>Ribosomal protein S9 - Drosophila melanogaster - cytosolic small ribosomal subunit - translation - structural constituent of ribosome - ribosome - rRNA binding - mitotic spindle organization - mitotic spindle elongation</t>
  </si>
  <si>
    <t>cytosolic small ribosomal subunit</t>
  </si>
  <si>
    <t>The small subunit of a ribosome located in the cytosol.  [GOC:mtg_sensu]</t>
  </si>
  <si>
    <t>30S ribosomal subunit  NARROW []</t>
  </si>
  <si>
    <t>PTZ00155 1e-071| PLN00189 3e-070| rpsD_arch 3e-050| rps4p 3e-034| RpsD 3e-018| Ribosomal_S4 8e-012| rpsD 5e-008| rps4 7e-008| S4 7e-008| rpsD_bact 5e-007| S4 2e-004| S4 2e-004| COG1189 | PRK04160 | tly | Ribosomal_S2 | DZF | PRK05427 | PRK10018 | WcaA |</t>
  </si>
  <si>
    <t>Heliconius melpomene cythera</t>
  </si>
  <si>
    <t>Bombyx mori</t>
  </si>
  <si>
    <t>Ctenocephalides felis</t>
  </si>
  <si>
    <t>Signal transduction mechanisms</t>
  </si>
  <si>
    <t>sp|Q7ZXL5|NELL2_XENLA</t>
  </si>
  <si>
    <t>Xenopus laevis</t>
  </si>
  <si>
    <t>Pongo abelii</t>
  </si>
  <si>
    <t>Energy production and conversion</t>
  </si>
  <si>
    <t>Maconellicoccus hirsutus</t>
  </si>
  <si>
    <t>sp|A2I3Z2|RSSA_MACHI</t>
  </si>
  <si>
    <t>zgc:110181 - Danio rerio - structural constituent of ribosome - ribosome - translation - intracellular - small ribosomal subunit - ribonucleoprotein complex - cytoplasm</t>
  </si>
  <si>
    <t>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</si>
  <si>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[ISBN:0198506732]</t>
  </si>
  <si>
    <t>ribosomal RNA  RELATED []</t>
  </si>
  <si>
    <t>PTZ00254 1e-079| Sa_S2_E_A 2e-063| rps2P 3e-041| RPS2 6e-041| Ribosomal_S2 6e-040| RpsB 8e-028| rpsB_bact 8e-008| rpsB 1e-006| rps2 0.030| rpsB | rne | COG5290 | kgd | PRK08506 | PRK06302 | CoxE | PLN02306 | GguC | PRK13945 | PRK13108 |</t>
  </si>
  <si>
    <t>Bombus terrestris</t>
  </si>
  <si>
    <t>sp|Q962Q5|RS25_SPOFR</t>
  </si>
  <si>
    <t>Ribosomal protein S25 - Drosophila melanogaster - cytosolic small ribosomal subunit - structural constituent of ribosome - translation - ribosome</t>
  </si>
  <si>
    <t>Ribosomal_S25 1e-035| COG4901 2e-011| PRK09334 4e-004| GlpR | DUF505 | TFA1 | COG2865 | dkgA | PRK05937 | Strumpellin | MalT | Reprolysin | DUF3495 | MarR_2 | HTH_GNTR | COG1959 | COG1542 | PRK10225 |</t>
  </si>
  <si>
    <t>Nasonia vitripennis</t>
  </si>
  <si>
    <t>sp|P50887|RL22_DROME</t>
  </si>
  <si>
    <t>Ribosomal protein L22 - Drosophila melanogaster - structural constituent of ribosome - translation - cytosolic large ribosomal subunit - ribosome - lipid particle - mitotic spindle elongation - mitotic spindle organization</t>
  </si>
  <si>
    <t>Ribosomal_L22e 3e-045| PTZ00198 4e-034| REX1_like 0.055| MatK_N | PRK08320 | ilvE_I | synapt_SV2 | PRK06048 | cyclohexanol_reductase_SDR_c | PS_I_psaG_plant | D_amino_aminoT | matK | xerS | PseudoU_synth_PUS1_PUS2 | PHA00657 | flgB | PRK10767 | PLN02540 | PRK10751 | citrate_synt_like_1_1 |</t>
  </si>
  <si>
    <t>Anopheles gambiae</t>
  </si>
  <si>
    <t>Anopheles darlingi</t>
  </si>
  <si>
    <t>sp|Q29MA5|RM24_DROPS</t>
  </si>
  <si>
    <t>Drosophila pseudoobscura pseudoobscura</t>
  </si>
  <si>
    <t>Probable 39S ribosomal protein L24, mitochondrial - Drosophila pseudoobscura pseudoobscura - molecular_function - cellular_component - biological_process</t>
  </si>
  <si>
    <t>molecular_function</t>
  </si>
  <si>
    <t>Elemental activities, such as catalysis or binding, describing the actions of a gene product at the molecular level. A given gene product may exhibit one or more molecular functions.  [GOC:go_curators]</t>
  </si>
  <si>
    <t>molecular function  EXACT []</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</si>
  <si>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</si>
  <si>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[GOC:go_curators]</t>
  </si>
  <si>
    <t>cellular component  EXACT []</t>
  </si>
  <si>
    <t>biological_process</t>
  </si>
  <si>
    <t>Any process specifically pertinent to the functioning of integrated living units: cells, tissues, organs, and organisms. A process is a collection of molecular events with a defined beginning and end.  [GOC:go_curators, GOC:isa_complete]</t>
  </si>
  <si>
    <t>biological process  EXACT []</t>
  </si>
  <si>
    <t>rplX_bact 2e-015| rplX 4e-015| RplX 2e-008| rpl24 1e-005| rplX 2e-004| KOW 0.007| KOW 0.044| PTZ00194 | acon_putative | PRK04290 | rplX_A_E | rpl24p | T7SS_EccB | L26e_arch | PRK13298 |</t>
  </si>
  <si>
    <t>sp|P07882|CEL_RAT</t>
  </si>
  <si>
    <t>Drosophila melanogaster - carboxylesterase activity - metabolic process</t>
  </si>
  <si>
    <t>carboxylesterase activity</t>
  </si>
  <si>
    <t>Catalysis of the reaction: a carboxylic ester + H2O = an alcohol + a carboxylic anion.  [EC:3.1.1.1]</t>
  </si>
  <si>
    <t>Ali-esterase activity  RELATED [EC:3.1.1.1]</t>
  </si>
  <si>
    <t>COesterase 4e-012| Esterase_lipase 2e-008| PnbA 4e-005| PRK13735 | PTZ00227 | CydD | PRK12704 |</t>
  </si>
  <si>
    <t>Aedes aegypti</t>
  </si>
  <si>
    <t>intracellular</t>
  </si>
  <si>
    <t>The living contents of a cell; the matter contained within (but not including) the plasma membrane, usually taken to exclude large vacuoles and masses of secretory or ingested material. In eukaryotes it includes the nucleus and cytoplasm.  [ISBN:0198506732]</t>
  </si>
  <si>
    <t>internal to cell  EXACT []</t>
  </si>
  <si>
    <t>sp|A8W3M6|YCF1_CUSOB</t>
  </si>
  <si>
    <t>Cuscuta obtusiflora</t>
  </si>
  <si>
    <t>Lipid transport and metabolism</t>
  </si>
  <si>
    <t>His_Phos_2 7e-005| AIPR | RhoGEF | RhoGEF | RhoGEF | Inhibitor_I24 | PTZ00269 | RasGAP_Neurofibromin_like | PRK15379 | Cog4 |</t>
  </si>
  <si>
    <t>Denitrovibrio acetiphilus DSM 12809</t>
  </si>
  <si>
    <t>sp|Q94DB8|PT111_ORYSJ</t>
  </si>
  <si>
    <t>Oryza sativa subsp. japonica</t>
  </si>
  <si>
    <t>RR_TM4-6 |</t>
  </si>
  <si>
    <t>sp|P16854|EST1_CULPI</t>
  </si>
  <si>
    <t>Culex pipiens</t>
  </si>
  <si>
    <t>COesterase 2e-012| Esterase_lipase 4e-007| PnbA 0.003| BMS1 | PRK12646 | ManA | DUF3431 | COG3972 | GH31_GANC_GANAB_alpha | PLN02524 |</t>
  </si>
  <si>
    <t>sp|Q8WQI5|RS8_SPOFR</t>
  </si>
  <si>
    <t>ribosomal protein S8a - Danio rerio - structural constituent of ribosome - ribosome - translation - intracellular - translational elongation - cytosolic small ribosomal subunit - maturation of SSU-rRNA from tricistronic rRNA transcript (SSU-rRNA, 5.8S rRNA, LSU-rRNA) - ribonucleoprotein complex - regulation of cell cycle - embryo development</t>
  </si>
  <si>
    <t>PTZ00148 3e-077| Ribosomal_S8e 5e-034| S8e 4e-020| RPS8A 1e-017| PRK04049 5e-015| arcsn_tRNA_tgt | hemH | POLBc_epsilon | PTase_Orf2 | PRK13534 | CPSF73-100_C | Ferrochelatase | rad_SAM_trio | PTZ00243 |</t>
  </si>
  <si>
    <t>Harpegnathos saltator</t>
  </si>
  <si>
    <t>PTZ00148 4e-079| Ribosomal_S8e 1e-036| S8e 1e-022| RPS8A 3e-020| PRK04049 6e-019| hemH | POLBc_epsilon | PTase_Orf2 | CPSF73-100_C | Ferrochelatase | PTZ00243 |</t>
  </si>
  <si>
    <t>Carabus granulatus</t>
  </si>
  <si>
    <t>PTZ00148 3e-076| Ribosomal_S8e 2e-034| S8e 3e-021| RPS8A 3e-019| PRK04049 1e-016| PRK05717 | hemH | POLBc_epsilon | M14-like_1_1 | CPSF73-100_C | GT1_WbnK_like | PTase_Orf2 | DUF482 | Ferrochelatase | rad_SAM_trio |</t>
  </si>
  <si>
    <t>sp|Q95V39|RL8_SPOFR</t>
  </si>
  <si>
    <t>Ribosomal protein L8 - Drosophila melanogaster - translation - structural constituent of ribosome - cytosolic large ribosomal subunit - ribosome - mitotic spindle elongation - mitotic spindle organization</t>
  </si>
  <si>
    <t>PTZ00180 e-113| rpl2p 2e-074| RplB 2e-061| Ribosomal_L2_C 2e-039| rplB_bact 6e-028| rplB 5e-027| rpl2 1e-026| PTZ00031 3e-022| Ribosomal_L2 2e-011| MD-1_MD-2 | NAPRTase_put | NAPRTase_A | Lipoxygenase | ALDH_MaoC-N | OAFO_sf | DUF3093 | PTKc_ALK_LTK | Mesothelin | DUF1342 | PRK11903 |</t>
  </si>
  <si>
    <t>PTZ00180 7e-080| rpl2p 1e-059| RplB 9e-046| Ribosomal_L2_C 8e-039| rplB 3e-022| rpl2 1e-020| rplB_bact 1e-020| PTZ00031 6e-017| NAPRTase_put | NAPRTase_A | Lipoxygenase | DUF1342 | PTKc_ALK_LTK | Mesothelin | PLN03124 | HypE | PapG_N |</t>
  </si>
  <si>
    <t>sp|P55841|RL14_DROME</t>
  </si>
  <si>
    <t>Ribosomal protein L14 - Drosophila melanogaster - translation - cytosolic large ribosomal subunit - structural constituent of ribosome - cytosolic ribosome - ribosome - negative regulation of neuron apoptosis - lipid particle - mitotic spindle elongation - mitotic spindle organization</t>
  </si>
  <si>
    <t>PTZ00065 4e-023| Ribosomal_L14e 1e-022| RPL14A 1e-010| PRK04333 8e-005| phage_N6A_met | PRK14902 | valS | PRK14901 | PLN03237 | PARP | SoxD |</t>
  </si>
  <si>
    <t>sp|Q03376|BAR3_CHITE</t>
  </si>
  <si>
    <t>Chironomus tentans</t>
  </si>
  <si>
    <t>Posttranslational modification, protein turnover, chaperones</t>
  </si>
  <si>
    <t>Arch_flagellin | TM_ABC_iron-siderophores_like | FlaB | Acatn | Flavodoxin_NdrI |</t>
  </si>
  <si>
    <t>sp|P62864|RS30_RAT</t>
  </si>
  <si>
    <t>Ribosomal protein S30 - Drosophila melanogaster - structural constituent of ribosome - cytosolic small ribosomal subunit - translation - lipid particle - mitotic spindle elongation - mitotic spindle organization</t>
  </si>
  <si>
    <t>Translation, ribosomal structure and biogenesis, Posttranslational modification, protein turnover, chaperones</t>
  </si>
  <si>
    <t>Ribosomal_S30 8e-019| PTZ00467 4e-009| PRK09336 1e-005| COG4919 0.003| Fubi 0.048| PLN02787 | DUF342 | PRK11192 | TIGR00264 | PLN03162 | GAGA_bind | MSP1_C | Corona_nucleoca | DUF677 | Sec62 |</t>
  </si>
  <si>
    <t>sp|Q9NB34|RL34_AEDTR</t>
  </si>
  <si>
    <t>Aedes triseriatus</t>
  </si>
  <si>
    <t>Ribosomal protein L34b - Drosophila melanogaster - cytosolic large ribosomal subunit - structural constituent of ribosome - translation - ribosome</t>
  </si>
  <si>
    <t>PTZ00074 2e-014| Ribosomal_L34e 2e-012| RPL34A 4e-007| PLN03166 2e-005| rpl34e 0.008| PRK05704 | Caleosin | PLN02960 | APP-like | PepP |</t>
  </si>
  <si>
    <t>Periplaneta americana</t>
  </si>
  <si>
    <t>sp|Q5G5C4|RS3A_PERAM</t>
  </si>
  <si>
    <t>Ribosomal protein S3A - Drosophila melanogaster - structural constituent of ribosome - cytosolic small ribosomal subunit - translation - cytosolic ribosome - oogenesis - lipid particle - mitotic spindle elongation - mitotic spindle organization</t>
  </si>
  <si>
    <t>Ribosomal_S3Ae 6e-081| RPS1A 2e-053| PRK04057 1e-034| YCG1 | BCAS2 | COG5643 | PRK14586 | COG3551 | PHA02716 |</t>
  </si>
  <si>
    <t>sp|Q9S8M0|LECT_SOLTU</t>
  </si>
  <si>
    <t>Solanum tuberosum</t>
  </si>
  <si>
    <t>Arch_flagellin | PLN02609 | CTP_transf_1 | TM_ABC_iron-siderophores_like | DECH_helic | FlaB | Reticulon | Acatn | PRK07219 |</t>
  </si>
  <si>
    <t>PLN00189 9e-047| PTZ00155 4e-045| rpsD_arch 3e-032| rps4p 9e-020| RpsD 1e-015| rpsD 1e-008| rps4 2e-008| S4 3e-008| rpsD_bact 1e-007| S4 5e-005| S4 7e-005| COG1189 | tly | DZF | SPK | COG3044 | HlyE | Vip3A_N | PRK06319 |</t>
  </si>
  <si>
    <t>Georissus sp. APV-2005</t>
  </si>
  <si>
    <t>sp|Q9NB33|RL44_AEDTR</t>
  </si>
  <si>
    <t>Ribosomal protein L36A - Drosophila melanogaster - cytosolic large ribosomal subunit - structural constituent of ribosome - translation - mitotic spindle organization - mitotic spindle elongation</t>
  </si>
  <si>
    <t>Ribosomal_L44 7e-020| PTZ00157 4e-017| RPL42A 5e-011| rpl44e 2e-007| PHA03235 | PHA03307 | rpoB | Ycf1 | PRK07115 | SH2_RIN2 | RasGAP_Neurofibromin |</t>
  </si>
  <si>
    <t>Ribosomal_L44 2e-019| PTZ00157 9e-017| RPL42A 1e-010| rpl44e 3e-007| PHA03235 | PHA03307 | rpoB | PRK07115 | Ycf1 | RasGAP_Neurofibromin | SH2_RIN2 |</t>
  </si>
  <si>
    <t>sp|Q962R1|RS18_SPOFR</t>
  </si>
  <si>
    <t>Ribosomal protein S18 - Drosophila melanogaster - translation - structural constituent of ribosome - cytosolic small ribosomal subunit - translational initiation - ribosome - RNA binding - lipid particle - mitotic spindle organization - mitotic spindle elongation</t>
  </si>
  <si>
    <t>PTZ00134 4e-062| rps13p 2e-040| arch_S13P 5e-036| Ribosomal_S13 1e-029| RpsM 7e-024| bact_S13 5e-010| rpsM 1e-009| rps13 1e-006| PRK04184 0.058| CPSaseII_lrg | gldA | PRK10702 | Herpes_U44 | GlyDH | COG1293 | secY | MurC | FbpA | PHA_depoly_arom | dnaE |</t>
  </si>
  <si>
    <t>sp|Q94424|CTF1_CTEFE</t>
  </si>
  <si>
    <t>Carbohydrate transport and metabolism, Cell wall/membrane/envelope biogenesis, Extracellular structures</t>
  </si>
  <si>
    <t>sp|Q4GXP2|RS21_BIPLU</t>
  </si>
  <si>
    <t>40S ribosomal protein S21 - Drosophila yakuba - ribosome - regulation of cell proliferation - ribosome binding</t>
  </si>
  <si>
    <t>ribosome binding</t>
  </si>
  <si>
    <t>Interacting selectively and non-covalently with any part of a ribosome.  [GOC:go_curators]</t>
  </si>
  <si>
    <t>ribosome receptor activity  NARROW []</t>
  </si>
  <si>
    <t>regulation of cell proliferation</t>
  </si>
  <si>
    <t>Any process that modulates the frequency, rate or extent of cell proliferation.  [GOC:jl]</t>
  </si>
  <si>
    <t>Ribosomal_S21e 5e-037| PRK10911 | P5CS | 53EXOc | PRK13325 | PRK12323 | PLN02545 | 5_3_exonuc_N | PRK11524 |</t>
  </si>
  <si>
    <t>sp|Q9W237|RS16_DROME</t>
  </si>
  <si>
    <t>Ribosomal protein S16 - Drosophila melanogaster - translation - cytosolic small ribosomal subunit - structural constituent of ribosome - lipid particle - ribosome - mitotic spindle elongation - mitotic spindle organization</t>
  </si>
  <si>
    <t>PTZ00086 2e-055| PLN00210 1e-052| rps9p 1e-035| Ribosomal_S9 8e-030| arch_S9P 2e-029| RpsI 3e-023| rpsI 4e-012| rps9 2e-004| Nckap1 | leuA_bact | RimK | Cation_efflux | PARP_regulatory | GRDB | flg_new | SXM1 | Corona_NS2A | PRK09603 | ComGF | PRK11174 |</t>
  </si>
  <si>
    <t>Triatoma infestans</t>
  </si>
  <si>
    <t>sp|Q02543|RL18A_HUMAN</t>
  </si>
  <si>
    <t>Uncharacterized protein - Sus scrofa - structural constituent of ribosome - ribosome - translation</t>
  </si>
  <si>
    <t>Ribosomal_L18ae 4e-014| RPL20A 8e-013| aceF | STKc_Pho85 | PTZ00454 | PRK11855 | PRK12438 | PRK00068 | PRK13533 |</t>
  </si>
  <si>
    <t>Toxorhynchites amboinensis</t>
  </si>
  <si>
    <t>sp|Q16927|VIT1_AEDAE</t>
  </si>
  <si>
    <t>Vitellogenin-2 - Solenopsis invicta - molecular_function - extracellular region - biological_process</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</si>
  <si>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</si>
  <si>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  [GOC:go_curators]</t>
  </si>
  <si>
    <t>extracellular  EXACT []</t>
  </si>
  <si>
    <t>PHA03308 3e-004| PTZ00112 0.001| PHA03307 0.001| DUF3633 0.002| RAP1 0.003| DUF1183 0.004| AF-4 0.006| SSP160 0.027| RNA_capsid 0.035| PTZ00410 0.045| Macoilin 0.052| Apt1 0.065| Cwf_Cwc_15 0.069| DUF2217 0.071| Secretin_N_2 0.076| DUF2146 0.098| PRK08581 0.098| DNA_pol_viral_N | PAP1 | NOT5 |</t>
  </si>
  <si>
    <t>Carbohydrate transport and metabolism</t>
  </si>
  <si>
    <t>DECH_helic |</t>
  </si>
  <si>
    <t>Artemia franciscana</t>
  </si>
  <si>
    <t>sp|Q9VMU4|RL37A_DROME</t>
  </si>
  <si>
    <t>Ribosomal protein L37A - Drosophila melanogaster - translation - structural constituent of ribosome - cytosolic large ribosomal subunit - mitotic spindle organization - mitotic spindle elongation</t>
  </si>
  <si>
    <t>Ribosomal_L37ae 9e-029| PTZ00255 1e-028| L37a 8e-018| rpl37ae 1e-015| RPL43A 3e-015| PRK11788 | PRK04023 | peptidase_C19C | DHDPS-like | Argininosuccinate_lyase | Basic |</t>
  </si>
  <si>
    <t>sp|Q962T1|RL32_SPOFR</t>
  </si>
  <si>
    <t>Ribosomal protein L32 - Drosophila melanogaster - translation - structural constituent of ribosome - cytosolic large ribosomal subunit - ribosome - mitotic spindle organization - mitotic spindle elongation</t>
  </si>
  <si>
    <t>PTZ00159 1e-048| Ribosomal_L32e 1e-046| Ribosomal_L32_L32e 3e-042| RPL32 2e-027| rpl32e 1e-022| PRK12766 7e-011| bass | DUF3651 | PRK04031 | tRNA_deacylase | pyrC | CDC_Septin | DUF482 | GH18_chitinase-like |</t>
  </si>
  <si>
    <t>sp|P15357|RS27A_DROME</t>
  </si>
  <si>
    <t>Ubiquitin-40S ribosomal protein S27a - Gallus gallus - activation of innate immune response - toll-like receptor signaling pathway - MyD88-dependent toll-like receptor signaling pathway - structural constituent of ribosome - intracellular - nucleus - cytoplasm - cytosol - translation - activation of NF-kappaB-inducing kinase activity - endosome membrane - cytosolic small ribosomal subunit - toll-like receptor 2 signaling pathway - toll-like receptor 3 signaling pathway - toll-like receptor 4 signaling pathway - toll-like receptor 5 signaling pathway - toll-like receptor 7 signaling pathway - activation of MAPK activity involved in innate immune response - toll-like receptor 15 signaling pathway - toll-like receptor 21 signaling pathway - metal ion binding</t>
  </si>
  <si>
    <t>activation of innate immune response</t>
  </si>
  <si>
    <t>Any process that initiates an innate immune response. Innate immune responses are defense responses mediated by germline encoded components that directly recognize components of potential pathogens. Examples of this process include activation of the hypersensitive response of Arabidopsis thaliana and activation of any NOD or TLR signaling pathway in vertebrate species.  [GO_REF:0000022, GOC:add, GOC:mtg_15nov05, GOC:mtg_sensu, ISBN:0781735149, PMID:15199967, PMID:16177805]</t>
  </si>
  <si>
    <t>Ribosomal_S27 1e-016| Ubiquitin 1e-015| ubiquitin 5e-010| UBQ 7e-010| UBL 2e-008| Nedd8 2e-008| RPS31 5e-007| PTZ00044 1e-006| Scythe_N 1e-005| Rad60-SLD 4e-005| AN1_N 8e-005| PRK00432 2e-004| NIRF_N 0.002| GDX_N 0.002| RAD23_N 0.005| hPLIC_N 0.008| parkin_N 0.015| rad23 0.020| SF3a120_C 0.024| UBQ 0.034|</t>
  </si>
  <si>
    <t>Replication, recombination and repair</t>
  </si>
  <si>
    <t>PRK15374 | ClC_6_like | selD |</t>
  </si>
  <si>
    <t>sp|P48155|RS7_MANSE</t>
  </si>
  <si>
    <t>40S ribosomal protein S7 - Anopheles gambiae - rRNA processing - cytosolic small ribosomal subunit - 90S preribosome - small-subunit processome - ribosomal small subunit biogenesis</t>
  </si>
  <si>
    <t>Ribosomal_S7e 2e-073| PTZ00389 7e-049| GldM_C | dnaE | PRK07529 | PRK14192 | RNAse_Pc | IleS |</t>
  </si>
  <si>
    <t>Ribosomal_S7e 5e-072| PTZ00389 4e-048| GldM_C | dnaE | PRK07529 | PRK14192 | RNAse_Pc | PRK07940 |</t>
  </si>
  <si>
    <t>sp|Q962S0|RS7_SPOFR</t>
  </si>
  <si>
    <t>Ribosomal_S7e 2e-077| PTZ00389 8e-051| GldM_C | dnaE | PRK07529 | ADPrib_exo_Tox | PRK14192 | RNAse_Pc | IleS | PRK06330 |</t>
  </si>
  <si>
    <t>sp|Q962T2|RL28_SPOFR</t>
  </si>
  <si>
    <t>Ribosomal protein L28 - Drosophila melanogaster - translation - cytosolic large ribosomal subunit - structural constituent of ribosome - mitotic spindle organization - mitotic spindle elongation - neurogenesis</t>
  </si>
  <si>
    <t>Ribosomal_L28e 2e-025| PTZ00197 3e-004| PRK15375 | DUF1207 | rpoC2 | PRK10689 | PH_anillin | PRK02264 | PRK15238 | ThiG | PHA03010 |</t>
  </si>
  <si>
    <t>sp|Q962R6|RS13_SPOFR</t>
  </si>
  <si>
    <t>ribosomal protein S13 - Danio rerio - structural constituent of ribosome - ribosome - translation - intracellular</t>
  </si>
  <si>
    <t>PTZ00072 2e-035| rps15p 2e-021| Ribosomal_S15p_S13e 3e-014| Ribosomal_S15 8e-014| RpsO 6e-012| S15_NS1_EPRS_RNA-bind 1e-006| S15_bact | PRK13771 | GlnD | Motor_domain | Peptidase_M9 | muHD | PTZ00119 | TtdA |</t>
  </si>
  <si>
    <t>sp|Q95WA0|RL26_LITLI</t>
  </si>
  <si>
    <t>Littorina littorea</t>
  </si>
  <si>
    <t>Ribosomal protein L26 - Drosophila melanogaster - cytosolic large ribosomal subunit - structural constituent of ribosome - translation - ribosome - mitotic spindle elongation - mitotic spindle organization</t>
  </si>
  <si>
    <t>PTZ00194 1e-044| rplX_A_E 5e-032| rpl24p 1e-026| RplX 3e-004| KOW 0.012| rplX 0.051| KOW | rplX_bact | M14_Nna1_like | M14_Nna1_like_3 | rplX | secD | nusG | aroD | DUF1289 |</t>
  </si>
  <si>
    <t>Timarcha balearica</t>
  </si>
  <si>
    <t>PTZ00194 1e-017| rplX_A_E 6e-010| rpl24p 8e-008| secD | DUF1289 |</t>
  </si>
  <si>
    <t>sp|Q5R8K6|RL35A_PONAB</t>
  </si>
  <si>
    <t>Ribosomal protein L35A - Drosophila melanogaster - cytosolic large ribosomal subunit - translation - structural constituent of ribosome - ribosome</t>
  </si>
  <si>
    <t>Ribosomal_L35Ae 6e-039| PTZ00041 4e-033| COG2451 1e-019| PRK04337 2e-009| D_ala_D_alaTIGR | ccoN | RNase_HI_RT_Bel | DdlA | rimM | DsbA_DsbC_DsbG |</t>
  </si>
  <si>
    <t>sp|Q69CJ9|RL35_OPHHA</t>
  </si>
  <si>
    <t>Ophiophagus hannah</t>
  </si>
  <si>
    <t>Ribosomal protein L35 - Drosophila melanogaster - translation - structural constituent of ribosome - cytosolic large ribosomal subunit - lipid particle - ribosome - mitotic spindle elongation - mitotic spindle organization</t>
  </si>
  <si>
    <t>Ribosomal_L29 3e-007| PRK14549 2e-006| L29 3e-005| Ribosomal_L29_HIP 6e-005| PRK00306 7e-005| RpmC 0.001| rpmC | PLN02859 | XpaC | AAK_FomA-like | TIGR00289 | COG1608 | PTZ00069 | 43 | LOH1CR12 | Cas_Csy4 | aspC | DUF2228 | 52 |</t>
  </si>
  <si>
    <t>sp|P31009|RS2_DROME</t>
  </si>
  <si>
    <t>Ribosomal protein S2 - Drosophila melanogaster - translation - cytosolic small ribosomal subunit - structural constituent of ribosome - ribosome - RNA binding - lipid particle</t>
  </si>
  <si>
    <t>PTZ00070 2e-075| rpsE_arch 6e-054| rps5p 4e-038| RpsE 3e-028| Ribosomal_S5_C 2e-018| rpsE 2e-010| rpsE_bact 2e-010| Ribosomal_S5 1e-008| rps5 0.019| DWB | PdxA | MH2 | ArgG | lpxC | PTZ00465 | E1_dh | pdxA | Chordopox_A35R | Phage_Cox | arcC |</t>
  </si>
  <si>
    <t>Anopheles gambiae str. PEST</t>
  </si>
  <si>
    <t>sp|Q9GT45|RS26_ANOGA</t>
  </si>
  <si>
    <t>Ribosomal protein S26 - Drosophila melanogaster - cytosolic small ribosomal subunit - translation - structural constituent of ribosome - ribosome</t>
  </si>
  <si>
    <t>Ribosomal_S26e 6e-026| PTZ00172 2e-021| PLN00186 4e-020| RPS26B 3e-014| PRK09335 0.019| PRK07748 | BAP |</t>
  </si>
  <si>
    <t>sp|Q75VN3|TCTP_BOMMO</t>
  </si>
  <si>
    <t>Translationally-controlled tumor protein homolog - Drosophila pseudoobscura pseudoobscura - calcium ion binding - cytoplasm - tubulin complex</t>
  </si>
  <si>
    <t>guanyl-nucleotide exchange factor activity</t>
  </si>
  <si>
    <t>Stimulates the exchange of guanyl nucleotides associated with a GTPase. Under normal cellular physiological conditions, the concentration of GTP is higher than that of GDP, favoring the replacement of GDP by GTP in association with the GTPase.  [GOC:kd, GOC:mah]</t>
  </si>
  <si>
    <t>GDP-dissociation stimulator activity  EXACT []</t>
  </si>
  <si>
    <t>positive regulation of cell size</t>
  </si>
  <si>
    <t>Any process that increases cell size.  [GOC:go_curators]</t>
  </si>
  <si>
    <t>activation of cell size  NARROW []</t>
  </si>
  <si>
    <t>Cell cycle control, cell division, chromosome partitioning, Cytoskeleton</t>
  </si>
  <si>
    <t>TCTP 4e-029| PTZ00151 5e-019| AAK_AK-Hom3 0.009| COG3106 | 16 | DNA_Packaging | PRK14989 | Mitofilin | PRK15383 | PRK11820 | CysH | ileS | IleS | PRK08149 | DUF2286 | hemE | OmpR | Fab1_TCP | DUF1670 | Lipoprotein_10 |</t>
  </si>
  <si>
    <t>sp|P48159|RL23_DROME</t>
  </si>
  <si>
    <t>Ribosomal protein L23 - Drosophila melanogaster - cytosolic large ribosomal subunit - translation - structural constituent of ribosome - ribosome - mitotic spindle organization - mitotic spindle elongation - protein binding - neurogenesis</t>
  </si>
  <si>
    <t>PTZ00054 9e-048| rpl14p 9e-034| rpl14p_arch 6e-032| Ribosomal_L14 1e-025| RplN 5e-025| rplN 9e-016| rpl14 2e-014| rplN_bact 7e-013| amiF | PHA03271 | PRK06850 | PRK10158 | COG2936 | PRK04046 |</t>
  </si>
  <si>
    <t>sp|O96647|RL10_BOMMA</t>
  </si>
  <si>
    <t>Bombyx mandarina</t>
  </si>
  <si>
    <t>Ribosomal protein L10 - Drosophila melanogaster - translation - cytosolic large ribosomal subunit - structural constituent of ribosome - ribosome - lipid particle - mitotic spindle organization - mitotic spindle elongation - cytoplasm - neuronal cell body</t>
  </si>
  <si>
    <t>PTZ00173 3e-096| L10e 6e-053| rpl10e 1e-041| Ribosomal_L16_L10e 2e-029| RplP 7e-024| Ribosomal_L16 5e-022| SEC21 | flgD | Nitroreductase_3 | rplP_bact | tonB_Cterm | nadV | TonB | DED | PI3Kc | glycerol3P_DH | PRK06770 |</t>
  </si>
  <si>
    <t>Camponotus floridanus</t>
  </si>
  <si>
    <t>sp|Q7KF90|RL31_SPOFR</t>
  </si>
  <si>
    <t>Uncharacterized protein - Gallus gallus - structural constituent of ribosome - intracellular - ribosome - translation</t>
  </si>
  <si>
    <t>Ribosomal_L31e 5e-017| Ribosomal_L31e 4e-013| PTZ00193 9e-010| RPL31A 3e-005| PRK01192 0.001| PRK14720 | eEF2_snRNP_like_C | EFG_C | FusA | Elongation_Factor_C | eEF2_C_snRNP | COG3421 |</t>
  </si>
  <si>
    <t>Dipetalogaster maximus</t>
  </si>
  <si>
    <t>sp|Q6F450|RL38_PLUXY</t>
  </si>
  <si>
    <t>Plutella xylostella</t>
  </si>
  <si>
    <t>ribosomal protein L38 - Danio rerio - intracellular - ribosome - structural constituent of ribosome - translation - ribonucleoprotein complex - embryo development</t>
  </si>
  <si>
    <t>Ribosomal_L38e 3e-020| PTZ00181 2e-012| Trehalose_recp | PRK06390 | lysS_arch | OBF_DNA_ligase_III | AcrB | DWB |</t>
  </si>
  <si>
    <t>Argopecten irradians</t>
  </si>
  <si>
    <t>sp|P58375|RL30_SPOFR</t>
  </si>
  <si>
    <t>ribosomal protein L30 - Rattus norvegicus - structural constituent of ribosome - intracellular - cytoplasm - ribosome - translation - cytosolic large ribosomal subunit</t>
  </si>
  <si>
    <t>PTZ00106 3e-049| RPL30 9e-033| Ribosomal_L7Ae 8e-023| PRK01018 9e-023| RPL8A 2e-007| rpl7ae 0.003| PRK07714 0.006| PRK07283 0.007| PRK13602 0.022| Ebp2 | aRF1/eRF1 | rpl7ae | NagD | CTE7 | fadJ | isochor_syn | rim_protein | PLN00162 | dsbE | PRK10942 |</t>
  </si>
  <si>
    <t>PTZ00106 4e-038| RPL30 2e-025| PRK01018 7e-018| Ribosomal_L7Ae 2e-017| RPL8A 3e-005| Ebp2 0.020| PRK07283 | rpl7ae | PRK13602 | NMNAT | rim_protein | PRK14377 | Glyco_hydro_cc | PLN00162 |</t>
  </si>
  <si>
    <t>sp|Q962U0|RL13A_SPOFR</t>
  </si>
  <si>
    <t>Ribosomal protein L13A - Drosophila melanogaster - cytosolic large ribosomal subunit - translation - structural constituent of ribosome - Notch signaling pathway - chaeta morphogenesis - ribosome</t>
  </si>
  <si>
    <t>PTZ00068 6e-032| L13_A_E 5e-016| rpl13p 1e-008| Ribosomal_L13 9e-006| RplM 0.005| Ribosomal_L13 0.011| DUF1951 | PHA00435 | rplM_bact | rpl13 | PRK13944 | PRK03659 | APH | rplM | PRK14330 | GT1_UGDG_like | CO_DH_cata | SDR_subfam_1 | HtrL_YibB | Phage_T7_Capsid |</t>
  </si>
  <si>
    <t>sp|P47904|RS27_XENLA</t>
  </si>
  <si>
    <t>zgc:73262 - Danio rerio - structural constituent of ribosome - intracellular - translation - ribosome - ribonucleoprotein complex - metal ion binding</t>
  </si>
  <si>
    <t>PTZ00083 1e-036| PLN00209 5e-035| Ribosomal_S27e 9e-020| RPS27A 2e-014| rps27e 2e-009| DUF2052 | SUA7 | ZP | PTZ00109 |</t>
  </si>
  <si>
    <t>Pediculus humanus corporis</t>
  </si>
  <si>
    <t>Mus musculus</t>
  </si>
  <si>
    <t>protein binding</t>
  </si>
  <si>
    <t>Interacting selectively and non-covalently with any protein or protein complex (a complex of two or more proteins that may include other nonprotein molecules).  [GOC:go_curators]</t>
  </si>
  <si>
    <t>alpha-2 macroglobulin receptor-associated protein activity  RELATED []</t>
  </si>
  <si>
    <t>sp|Q962U1|RL13_SPOFR</t>
  </si>
  <si>
    <t>Ribosomal protein L13 - Drosophila melanogaster - structural constituent of ribosome - cytosolic large ribosomal subunit - translation - ribosome - lipid particle - mitotic spindle organization - mitotic spindle elongation</t>
  </si>
  <si>
    <t>Ribosomal_L13e 3e-069| PTZ00352 2e-057| PTZ00192 1e-045| RPL13 2e-023| PRK12277 6e-004| PRK08296 | AvrPtoB-E3_ubiq | PRK12727 | TM_PBP1_transp_TpRbsC_like | arg_catab_astB | LPLAT | RrnaAD | F420_G6P_family | MAF_flag10 | DAPAT_plant | DUF1631 | COG2604 | aroB | PlsC |</t>
  </si>
  <si>
    <t>sp|Q962S7|RL37_SPOFR</t>
  </si>
  <si>
    <t>Ribosomal protein L37a - Drosophila melanogaster - translation - structural constituent of ribosome - cytosolic large ribosomal subunit - ribosome</t>
  </si>
  <si>
    <t>PTZ00073 7e-028| Ribosomal_L37e 6e-017| RPL37A 6e-010| rpl37e 2e-009| PRK05113 | PRK14559 | Cas2_I_II_III | PRK06450 | rnfB | PRK08579 | COG2878 | PLDc_Nuc_like_unchar2 | PRK14838 | LIM4_PINCH | CRISPR_Cas2 | sopT |</t>
  </si>
  <si>
    <t>sp|Q9NBX4|RTXE_DROME</t>
  </si>
  <si>
    <t>CHKov1 - Drosophila melanogaster - RNA-dependent DNA replication - RNA-directed DNA polymerase activity - RNA binding</t>
  </si>
  <si>
    <t>RNA-directed DNA polymerase activity</t>
  </si>
  <si>
    <t>Catalysis of the reaction: deoxynucleoside triphosphate + DNA(n) = diphosphate + DNA(n+1). Catalyzes RNA-template-directed extension of the 3'- end of a DNA strand by one deoxynucleotide at a time.  [EC:2.7.7.49]</t>
  </si>
  <si>
    <t>deoxynucleoside-triphosphate:DNA deoxynucleotidyltransferase (RNA-directed) activity  EXACT [EC:2.7.7.49]</t>
  </si>
  <si>
    <t>RNA-dependent DNA replication</t>
  </si>
  <si>
    <t>A DNA replication process that uses RNA as a template for RNA-dependent DNA polymerases (e.g. reverse transcriptase) that synthesize the new strands.  [GOC:mah, ISBN:0198506732]</t>
  </si>
  <si>
    <t>PRK05912 | PRK13354 | rad4 | START_1 | PRK07090 | RNR_III | PTKc_Itk | DUF2872 | Hemagglutinin |</t>
  </si>
  <si>
    <t>Jockey_Ele1_ORF2</t>
  </si>
  <si>
    <t>sp|Q8CE08|PPAP_MOUSE</t>
  </si>
  <si>
    <t>PRK15294 0.073| PTZ00487 | COG2346 | PLN02713 | PRK11660 | PLN02206 | MCR_alpha | PRK13517 | recQ |</t>
  </si>
  <si>
    <t>Trypanosoma cruzi</t>
  </si>
  <si>
    <t>sp|Q7T9D9|VGP_EBOSU</t>
  </si>
  <si>
    <t>Sudan ebolavirus (strain Uganda-00)</t>
  </si>
  <si>
    <t>Amino acid transport and metabolism, Signal transduction mechanisms</t>
  </si>
  <si>
    <t>mevalon_kin | PLN02257 |</t>
  </si>
  <si>
    <t>Danio rerio</t>
  </si>
  <si>
    <t>Transcription</t>
  </si>
  <si>
    <t>AstA | Tubulin_FtsZ |</t>
  </si>
  <si>
    <t>Rhodnius prolixus</t>
  </si>
  <si>
    <t>sp|O16797|RL3_DROME</t>
  </si>
  <si>
    <t>Ribosomal protein L3 - Drosophila melanogaster - cytosolic large ribosomal subunit - structural constituent of ribosome - translation - cytosolic ribosome - mitotic spindle elongation - mitotic spindle organization</t>
  </si>
  <si>
    <t>PTZ00103 6e-021| COG4544 |</t>
  </si>
  <si>
    <t>sp|Q24154|RL29_DROME</t>
  </si>
  <si>
    <t>Ribosomal protein L29 - Drosophila melanogaster - structural constituent of ribosome - translation - cytosolic large ribosomal subunit - ribosome - chromatin binding</t>
  </si>
  <si>
    <t>Ribosomal_L29e 0.002| PLN02610 | PRK11778 | PLN02700 | half-pint | PRK11642 | Peptidase_S49_N | PTZ00401 | IpaC_SipC | IpaC_SipC | PRK06761 | PRK09248 |</t>
  </si>
  <si>
    <t>sp|B1H1P9|PPAL_XENLA</t>
  </si>
  <si>
    <t>His_Phos_2 2e-005| HP_HAP_like 0.039| TEL1 | Vps16_N |</t>
  </si>
  <si>
    <t>zgc:113200 - Danio rerio - acid phosphatase activity - cellular_component</t>
  </si>
  <si>
    <t>acid phosphatase activity</t>
  </si>
  <si>
    <t>Catalysis of the reaction: an orthophosphoric monoester + H2O = an alcohol + phosphate, with an acid pH optimum.  [EC:3.1.3.2]</t>
  </si>
  <si>
    <t>acid monophosphatase activity  EXACT [EC:3.1.3.2]</t>
  </si>
  <si>
    <t>HP_HAP_like 0.028| RuBisCO_large_III | TIGR00733 | tmk | cls | TIGR03623 | PHA02973 |</t>
  </si>
  <si>
    <t>sp|Q66671|UL32_EHV2</t>
  </si>
  <si>
    <t>Equine herpesvirus 2 (strain 86/87)</t>
  </si>
  <si>
    <t>RR_TM4-6 | AA_permease |</t>
  </si>
  <si>
    <t>sp|Q3KQG9|PPAT_XENLA</t>
  </si>
  <si>
    <t>PRK11107 | ALAD_PBGS_aspartate_rich | ETF | EF_TS | PRK06334 | PRK09260 | PRK13839 | PRK05257 | Proteasom_PSMB | Mqo | RFC1 | pgm_1 | M3A_MIP | TSA | PRK12548 | PRK08361 | SR_ResInv | tsf | PRK01213 | PRK15117 |</t>
  </si>
  <si>
    <t>sp|A9YME1|VA5_MICHY</t>
  </si>
  <si>
    <t>Microctonus hyperodae</t>
  </si>
  <si>
    <t>Drosophila melanogaster - biological_process - molecular_function - extracellular region</t>
  </si>
  <si>
    <t>SCP_euk 2e-028| SCP 2e-025| SCP_HrTT-1 9e-015| CAP 3e-014| SCP_GLIPR-1_like 2e-013| SCP_CRISP 4e-012| SCP 4e-011| SCP_PR-1_like 1e-010| SCP_GAPR-1_like 3e-010| SCP_PRY1_like 4e-009| PRK11404 | KAP95 | DUF1513 | FGGY_D-XK_2 | MukB | TIGR02928 | PRK06835 | Terpene_cyclase_cis_trans_C1 | PRK08565 |</t>
  </si>
  <si>
    <t>sp|P35779|VA3_SOLRI</t>
  </si>
  <si>
    <t>Solenopsis richteri</t>
  </si>
  <si>
    <t>SCP_euk 4e-028| SCP 1e-024| SCP_GLIPR-1_like 2e-015| SCP_HrTT-1 7e-015| CAP 6e-014| SCP_PR-1_like 3e-012| SCP_CRISP 5e-012| SCP 7e-012| SCP_GAPR-1_like 1e-011| SCP_PRY1_like 1e-010| Glycoprotein_G | FGGY_D-XK_2 | PLN02628 | PRK06111 | PRK08565 | PRK13928 | GAGA_bind |</t>
  </si>
  <si>
    <t>sp|P05389|RLA2_DROME</t>
  </si>
  <si>
    <t>Ribosomal protein LP2 - Drosophila melanogaster - translation - structural constituent of ribosome - cytosolic ribosome - translational elongation - cytosolic large ribosomal subunit - ribosome</t>
  </si>
  <si>
    <t>cytosolic ribosome</t>
  </si>
  <si>
    <t>A ribosome located in the cytosol.  [GOC:mtg_sensu]</t>
  </si>
  <si>
    <t>70S ribosome  NARROW []</t>
  </si>
  <si>
    <t>Ribosomal_P2 3e-007| PTZ00135 6e-007| Ribosomal_P1 7e-007| PLN00138 1e-005| PTZ00373 5e-004| Ribosomal_60s 0.002| rplP0 0.020| PTZ00240 0.046| rpl12p | PTZ00144 | PRK10882 | L21P_arch | aceF | kgd | Ribosomal_P1_P2_L12p | PLN02967 | FLO_LFY | Ribosomal_L12p | Ribosomal_L7_L12 | PHA02664 |</t>
  </si>
  <si>
    <t>sp|P55735|SEC13_HUMAN</t>
  </si>
  <si>
    <t>Protein SEC13 homolog - Homo sapiens - M phase of mitotic cell cycle - mitotic prometaphase - mitotic cell cycle - kinetochore - antigen processing and presentation of peptide antigen via MHC class I - protein binding - nucleus - nuclear envelope - endoplasmic reticulum - endoplasmic reticulum membrane - cytosol - intracellular protein transport - ER to Golgi vesicle-mediated transport - ER to Golgi transport vesicle membrane - membrane - cellular membrane organization - vesicle-mediated transport - protein N-linked glycosylation via asparagine - Nup107-160 complex - cytoplasmic vesicle - post-translational protein modification - cellular protein metabolic process - COPII vesicle coating - mRNA transport</t>
  </si>
  <si>
    <t>kinetochore</t>
  </si>
  <si>
    <t>A multisubunit complex that is located at the centromeric region of DNA and provides an attachment point for the spindle microtubules.  [GOC:elh]</t>
  </si>
  <si>
    <t>M phase of mitotic cell cycle</t>
  </si>
  <si>
    <t>M phase occurring as part of the mitotic cell cycle. M phase is the part of the cell cycle during which nuclear division takes place. A mitotic cell cycle is one which canonically comprises four successive phases called G1, S, G2, and M and includes replication of the genome and the subsequent segregation of chromosomes into daughter cells.  [GOC:dph, GOC:mah, ISBN:0815316194]</t>
  </si>
  <si>
    <t>M-phase of mitotic cell cycle  EXACT []</t>
  </si>
  <si>
    <t>WD40 0.003| COG2319 | GH43_XYL_2 | WD40 | WD40 | DUF1835 | IKI3 | PRK15314 | Mon1 | ENaC | PTZ00420 | PLN00181 | COG5290 | SAM_liprin-kazrin_repeat2 | PLN02415 | Usher |</t>
  </si>
  <si>
    <t>sp|Q62888|NLGN2_RAT</t>
  </si>
  <si>
    <t>cholinesterase activity</t>
  </si>
  <si>
    <t>Catalysis of the reaction: an acylcholine + H2O = choline + a carboxylic acid anion.  [EC:3.1.1.8]</t>
  </si>
  <si>
    <t>acylcholine acylhydrolase activity  EXACT [EC:3.1.1.8]</t>
  </si>
  <si>
    <t>cytosol</t>
  </si>
  <si>
    <t>The part of the cytoplasm that does not contain organelles but which does contain other particulate matter, such as protein complexes.  [GOC:hgd, GOC:jl]</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</si>
  <si>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</si>
  <si>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[GOC:go_curators, ISBN:0198547684]</t>
  </si>
  <si>
    <t>metabolic process resulting in cell growth  NARROW []</t>
  </si>
  <si>
    <t>COesterase 2e-012| Esterase_lipase 2e-007| PnbA 0.006| KdsB | C2A_PI3K_class_II | COG4906 | UPF0564 | Herpes_glycop |</t>
  </si>
  <si>
    <t>sp|Q962T5|RL24_SPOFR</t>
  </si>
  <si>
    <t>Ribosomal protein L24 - Drosophila melanogaster - structural constituent of ribosome - cytosolic large ribosomal subunit - translation - ribosome - lipid particle - mitotic spindle elongation - mitotic spindle organization</t>
  </si>
  <si>
    <t>PRK10547 0.033| PTZ00144 0.046| PRK11642 0.075| kgd | PRK07561 | valS | PLN02502 | PRK03449 | PRK14724 | PRK05035 | PRK10796 | PLN03237 | PTZ00033 | PRK04950 | SRP-alpha_N | PTZ00121 | PRTRC_parB | PRK08173 | PRK05901 | PRK11855 |</t>
  </si>
  <si>
    <t>Dascillus cervinus</t>
  </si>
  <si>
    <t>sp|Q7ZV82|RL27_DANRE</t>
  </si>
  <si>
    <t>Ribosomal protein L27 - Drosophila melanogaster - structural constituent of ribosome - translation - cytosolic large ribosomal subunit - mitotic spindle organization - mitotic spindle elongation</t>
  </si>
  <si>
    <t>Ribosomal_L27e 2e-028| PTZ00471 8e-021| RPL14A 0.009| NR_LBD_HNF4_like | PQQ_membr_DH | PRK13981 | 2a45 | ACS_2 | CDO_I | PBP1_Pheromone_receptor |</t>
  </si>
  <si>
    <t>sp|Q7XD66|RIP6_ORYSJ</t>
  </si>
  <si>
    <t>sp|Q9XZS3|CCD72_DROME</t>
  </si>
  <si>
    <t>Drosophila melanogaster - cellular_component - biological_process - molecular_function</t>
  </si>
  <si>
    <t>mtEFG2_like_IV | TMA7 | PFL1 | PRK05218 | Macoilin | PLN02381 | alaS | PTZ00402 |</t>
  </si>
  <si>
    <t>ComEC_Rec2 | Arch_GlmM | Dala_Dala_lig_N | PRK06076 | PGM_like4 | PRK08115 | PRK15034 | RYDR_ITPR | nrdG |</t>
  </si>
  <si>
    <t>sp|Q5MQL3|DEF2_APIME</t>
  </si>
  <si>
    <t>Defensin - Palomena prasina - molecular_function - extracellular region - defense response to Gram-negative bacterium</t>
  </si>
  <si>
    <t>defense response to Gram-negative bacterium</t>
  </si>
  <si>
    <t>Reactions triggered in response to the presence of a Gram-negative bacterium that act to protect the cell or organism.  [GOC:ai]</t>
  </si>
  <si>
    <t>defence response to Gram-negative bacteria  EXACT []</t>
  </si>
  <si>
    <t>Defensin_2 5e-005| Knot1 | PTZ00322 | Hs1pro-1_N | COG4977 | PRK08010 | PepX_N | cobN | PQQ_ABC_bind |</t>
  </si>
  <si>
    <t>sp|P08570|RLA1_DROME</t>
  </si>
  <si>
    <t>Ribosomal protein LP1 - Drosophila melanogaster - structural constituent of ribosome - translation - cytosolic large ribosomal subunit - translational elongation - ribosome - lipid particle</t>
  </si>
  <si>
    <t>Ribosomal_P1 3e-030| Ribosomal_P1_P2_L12p 2e-015| Ribosomal_60s 1e-014| Ribosomal_P2 4e-012| RPP1A 7e-011| PTZ00373 1e-007| PTZ00135 1e-007| PLN00138 8e-007| rpl12p 3e-006| L21P_arch 4e-006| PTZ00240 4e-005| Ribosomal_L12p 6e-005| PRK02888 0.025| rplP0 | kgd | PRK05704 | PRK11855 | Ribosomal_L7_L12 | PRK10564 | PRK11856 |</t>
  </si>
  <si>
    <t>sp|Q1I179|SCX2_TITDI</t>
  </si>
  <si>
    <t>Tityus discrepans</t>
  </si>
  <si>
    <t>sp|P46222|RL11_DROME</t>
  </si>
  <si>
    <t>Ribosomal protein L11 - Drosophila melanogaster - structural constituent of ribosome - cytosolic large ribosomal subunit - translation - ribosome - protein binding - lipid particle - mitotic spindle elongation - mitotic spindle organization</t>
  </si>
  <si>
    <t>PTZ00156 2e-063| rpl5p 2e-037| Ribosomal_L5_C 9e-024| RplE 5e-021| rplE 0.009| rpl5 | rlmL | PHA03173 | PTZ00069 | XET_C | PRK06830 | COG4868 | NAD_bind_m-THF_DH | PRK12921 | PRK06450 |</t>
  </si>
  <si>
    <t>sp|Q8MQI6|ELOF1_DROME</t>
  </si>
  <si>
    <t>Drosophila melanogaster - molecular_function - biological_process - cellular_component</t>
  </si>
  <si>
    <t>Elf1 2e-025| COG4888 6e-016| PRK14892 8e-006| RasGAP_IQGAP1 | GDPD_EcGlpQ_like_1 | POPLD | PHA03150 | PRK12759 |</t>
  </si>
  <si>
    <t>sp|P61354|RL27_RAT</t>
  </si>
  <si>
    <t>Ribosomal_L27e 2e-030| PTZ00471 1e-028| RPL14A 3e-005| NR_LBD_HNF4_like | PQQ_membr_DH | 2a45 | PRK13981 | ACS_2 | PRK00481 | 3a0801s03tim44 | CDO_I | PTPS_related | COG4883 |</t>
  </si>
  <si>
    <t>His_Phos_2 6e-004| PTZ00297 | gatA | bacteriocin_ABC | CBM6_discoidin-like | atpA | flgI | MarC | GldM_N |</t>
  </si>
  <si>
    <t>Micromalthus debilis</t>
  </si>
  <si>
    <t>sp|Q945U1|RS15_ELAOL</t>
  </si>
  <si>
    <t>Elaeis oleifera</t>
  </si>
  <si>
    <t>Ribosomal protein S15 - Drosophila melanogaster - structural constituent of ribosome - cytosolic small ribosomal subunit - translation - RNA binding - lipid particle - mitotic spindle elongation - mitotic spindle organization</t>
  </si>
  <si>
    <t>PTZ00096 2e-062| rpsS_arch 1e-053| rps19p 2e-043| Ribosomal_S19 1e-030| RpsS 1e-025| rpsS 6e-012| rpsS_bact 6e-011| rps19 8e-010| PLN03147 0.002| NapH | DUF2351 | Oxidored_nitro | DUF3294 | Glyco_hydro_39 | PRK12759 | PRK02812 | ATP-synt_D | CDC73 | PRK01722 | HI0933_like |</t>
  </si>
  <si>
    <t>sp|Q25055|HOL3_HOLDI</t>
  </si>
  <si>
    <t>Holotrichia diomphalia</t>
  </si>
  <si>
    <t>Putative uncharacterized protein - Candida albicans SC5314 - molecular_function - cellular_component - biological_process</t>
  </si>
  <si>
    <t>PRK09565 2e-004| Het-C 0.004| API5 0.022| fliH 0.046| PTZ00146 0.060| PRK05325 | PRK10590 | BAF1_ABF1 | zip | PRK06958 | Zip | PLN03138 | obgE | PRK07772 | PRK10737 | DUF1183 | NagC | ureE | PRP | III |</t>
  </si>
  <si>
    <t>sp|Q95V32|RS6_SPOFR</t>
  </si>
  <si>
    <t>Ribosomal protein S6 - Drosophila melanogaster - translation - structural constituent of ribosome - cytosolic small ribosomal subunit - ribosome - immune response - lipid particle - mitotic spindle elongation - mitotic spindle organization</t>
  </si>
  <si>
    <t>PTZ00028 2e-032| Ribosomal_S6e 1e-004| PRK00247 | PTZ00121 | PLN02502 | NHLM_micro_HlyD | HRP1 | PRK00106 | PLN03037 | PRK11192 | DUF2992 | DUF1682 | PRK08116 |</t>
  </si>
  <si>
    <t>Clustered at 25%-Sim- on 50% of length - - Cluster#</t>
  </si>
  <si>
    <t xml:space="preserve"># seqs </t>
  </si>
  <si>
    <t>Clustered at 30%-Sim- on 50% of length - - Cluster#</t>
  </si>
  <si>
    <t>Clustered at 35%-Sim- on 50% of length - - Cluster#</t>
  </si>
  <si>
    <t>Clustered at 40%-Sim- on 50% of length - - Cluster#</t>
  </si>
  <si>
    <t>Clustered at 45%-Sim- on 50% of length - - Cluster#</t>
  </si>
  <si>
    <t>Clustered at 50%-Sim- on 50% of length - - Cluster#</t>
  </si>
  <si>
    <t>Clustered at 55%-Sim- on 50% of length - - Cluster#</t>
  </si>
  <si>
    <t>Clustered at 60%-Sim- on 50% of length - - Cluster#</t>
  </si>
  <si>
    <t>Clustered at 65%-Sim- on 50% of length - - Cluster#</t>
  </si>
  <si>
    <t>Clustered at 70%-Sim- on 50% of length - - Cluster#</t>
  </si>
  <si>
    <t>Clustered at 75%-Sim- on 50% of length - - Cluster#</t>
  </si>
  <si>
    <t>Clustered at 80%-Sim- on 50% of length - - Cluster#</t>
  </si>
  <si>
    <t>Clustered at 85%-Sim- on 50% of length - - Cluster#</t>
  </si>
  <si>
    <t>Clustered at 90%-Sim- on 50% of length - - Cluster#</t>
  </si>
  <si>
    <t>Clustered at 95%-Sim- on 50% of length - - Cluster#</t>
  </si>
  <si>
    <t>Number of ESTs</t>
  </si>
  <si>
    <t>Class</t>
  </si>
  <si>
    <t>Subclass</t>
  </si>
  <si>
    <t>Comments</t>
  </si>
  <si>
    <t>Putative Housekeeping proteins</t>
  </si>
  <si>
    <t>Protein synthesis machinery</t>
  </si>
  <si>
    <t>Unknown product</t>
  </si>
  <si>
    <t>Ribosomal protein S4</t>
  </si>
  <si>
    <t>Flea -specific families</t>
  </si>
  <si>
    <t>Other putative secreted peptides</t>
  </si>
  <si>
    <t>Hypothetical secreted protein precursor - signalP detected</t>
  </si>
  <si>
    <t>FS-H family</t>
  </si>
  <si>
    <t>secreted salivary protein</t>
  </si>
  <si>
    <t>40S ribosomal protein SA (P40)/Laminin receptor 1</t>
  </si>
  <si>
    <t>Transcription machinery</t>
  </si>
  <si>
    <t>ribosomal protein S25</t>
  </si>
  <si>
    <t>60S ribosomal protein L22-like</t>
  </si>
  <si>
    <t>Mitochondrial/chloroplast ribosomal protein L24</t>
  </si>
  <si>
    <t>Enzymes</t>
  </si>
  <si>
    <t>Esterase</t>
  </si>
  <si>
    <t>truncated esterase</t>
  </si>
  <si>
    <t>Immunity related</t>
  </si>
  <si>
    <t>Deorphanized flea proteins</t>
  </si>
  <si>
    <t>Abundant very short peptide family</t>
  </si>
  <si>
    <t>40S ribosomal protein S8</t>
  </si>
  <si>
    <t>60S ribosomal protein L8 Harpegnathos saltator</t>
  </si>
  <si>
    <t>60s ribosomal protein L2/L8</t>
  </si>
  <si>
    <t>ribosomal protein L14 Tribolium castaneum</t>
  </si>
  <si>
    <t>Short peptide family</t>
  </si>
  <si>
    <t>secreted salivary protein - signalP detected</t>
  </si>
  <si>
    <t>ubiquitin-ribosomal protein S30e fusion protein</t>
  </si>
  <si>
    <t>60S ribosomal protein L34</t>
  </si>
  <si>
    <t>40S ribosomal protein S3A</t>
  </si>
  <si>
    <t>Ribosomal protein S9 - mitotic spindle elongation - mitotic spindle organization - rRNA binding - ribosome - structural constituent of ribosome -</t>
  </si>
  <si>
    <t>ribosomal protein L44e</t>
  </si>
  <si>
    <t>Ribosomal protein S18</t>
  </si>
  <si>
    <t>Ribosomal protein S21e</t>
  </si>
  <si>
    <t>40S ribosomal protein S16</t>
  </si>
  <si>
    <t>60S ribosomal protein L18a</t>
  </si>
  <si>
    <t>Storage</t>
  </si>
  <si>
    <t>vitellogenin C</t>
  </si>
  <si>
    <t>Ribosomal L37ae protein family</t>
  </si>
  <si>
    <t>60S ribosomal protein L32</t>
  </si>
  <si>
    <t>ribosomal protein S27</t>
  </si>
  <si>
    <t>FS-I antigen</t>
  </si>
  <si>
    <t>Salivary antigen 1</t>
  </si>
  <si>
    <t>40S ribosomal protein S7</t>
  </si>
  <si>
    <t>ribosomal protein L28e</t>
  </si>
  <si>
    <t>40S ribosomal protein S13</t>
  </si>
  <si>
    <t>60S ribosomal protein L26</t>
  </si>
  <si>
    <t>ribosomal protein L26e</t>
  </si>
  <si>
    <t>ribosomal protein L35Ae Tribolium castaneum</t>
  </si>
  <si>
    <t>ribosomal protein L35</t>
  </si>
  <si>
    <t>40S ribosomal protein S2/30S ribosomal protein S5</t>
  </si>
  <si>
    <t>Defensins</t>
  </si>
  <si>
    <t>Ribosomal protein S26e</t>
  </si>
  <si>
    <t>translationally controlled tumor protein</t>
  </si>
  <si>
    <t>ribosomal protein L23e Tribolium castaneum</t>
  </si>
  <si>
    <t>60s ribosomal protein L10</t>
  </si>
  <si>
    <t>60S ribosomal protein L31</t>
  </si>
  <si>
    <t>Ribosomal L38e protein family</t>
  </si>
  <si>
    <t>ribosomal protein L30</t>
  </si>
  <si>
    <t>60S ribosomal protein L13a-like</t>
  </si>
  <si>
    <t>60S Ribosomal protein L13</t>
  </si>
  <si>
    <t>60S ribosomal protein L37</t>
  </si>
  <si>
    <t>Transposable element</t>
  </si>
  <si>
    <t>RTE_Ele1_ORF1 -h 1e-60 -j 4</t>
  </si>
  <si>
    <t>Phosphatase</t>
  </si>
  <si>
    <t>Lysosomal &amp; prostatic acid phosphatases - Membrane anchor detected</t>
  </si>
  <si>
    <t>60S ribosomal protein L3 - signalP detected</t>
  </si>
  <si>
    <t>ribosomal protein L29</t>
  </si>
  <si>
    <t>truncated secreted salivary acid phosphatase</t>
  </si>
  <si>
    <t>truncated salivary phosphatase</t>
  </si>
  <si>
    <t>Antigen 5 family</t>
  </si>
  <si>
    <t>salivary allergen 2</t>
  </si>
  <si>
    <t>ribosomal protein P2 - signalP detected</t>
  </si>
  <si>
    <t>Protein SEC13 homolog - mRNA transport - COPII vesicle coating - cellular protein metabolic process - post-translational protein modification -</t>
  </si>
  <si>
    <t>ribosomal protein L24</t>
  </si>
  <si>
    <t>ribosomal protein L27e</t>
  </si>
  <si>
    <t>Translation machinery associated TMA7</t>
  </si>
  <si>
    <t>Defensin-1 - signalP detected</t>
  </si>
  <si>
    <t>60S acidic ribosomal protein P1</t>
  </si>
  <si>
    <t>60S ribosomal protein L11</t>
  </si>
  <si>
    <t>transcription elongation factor 1 homolog isoform 1 Bombus terrestris</t>
  </si>
  <si>
    <t>40S ribosomal protein S15</t>
  </si>
  <si>
    <t>Glycine-rich cell wall structural protein 1.8 - signalP detected</t>
  </si>
  <si>
    <t>40S ribosomal protein S6</t>
  </si>
  <si>
    <t>Putative secreted proteins</t>
  </si>
  <si>
    <t xml:space="preserve">    Antigen 5 family</t>
  </si>
  <si>
    <t>Flea-specific proteins</t>
  </si>
  <si>
    <t xml:space="preserve">    Abundant very short peptide family</t>
  </si>
  <si>
    <t>Putative housekeeping proteins</t>
  </si>
  <si>
    <t xml:space="preserve">    Esterases</t>
  </si>
  <si>
    <t xml:space="preserve">    Phosphatases</t>
  </si>
  <si>
    <t>Clustered by psiblast j=2- - Cluster#</t>
  </si>
  <si>
    <t>Clustered by psiblast j=3- - Cluster#</t>
  </si>
  <si>
    <t>Clustered by psiblast j=4- - Cluster#</t>
  </si>
  <si>
    <t>Cleavage Position</t>
  </si>
  <si>
    <t>MW</t>
  </si>
  <si>
    <t>pI</t>
  </si>
  <si>
    <t>Mature MW</t>
  </si>
  <si>
    <t xml:space="preserve">pI </t>
  </si>
  <si>
    <t>TMHMM result</t>
  </si>
  <si>
    <t>Predicted helices</t>
  </si>
  <si>
    <t>% membrane</t>
  </si>
  <si>
    <t>% outside</t>
  </si>
  <si>
    <t>% inside</t>
  </si>
  <si>
    <t>Possible GPI?</t>
  </si>
  <si>
    <t xml:space="preserve">Length of peptide after last membrane helix </t>
  </si>
  <si>
    <t>Percent Ser+Thr</t>
  </si>
  <si>
    <t>Percent Gly</t>
  </si>
  <si>
    <t xml:space="preserve">Percent Pro </t>
  </si>
  <si>
    <t xml:space="preserve">    Defensins and holotricin</t>
  </si>
  <si>
    <t>ExpAA=0.13 First60=0.13 PredHel=0 Topology=o</t>
  </si>
  <si>
    <t>ExpAA=0.05 First60=0.00 PredHel=0 Topology=o</t>
  </si>
  <si>
    <t>ExpAA=0.01 First60=0.00 PredHel=0 Topology=o</t>
  </si>
  <si>
    <t>ExpAA=0.02 First60=0.01 PredHel=0 Topology=o</t>
  </si>
  <si>
    <t>ExpAA=0.16 First60=0.00 PredHel=0 Topology=o</t>
  </si>
  <si>
    <t>ExpAA=0.11 First60=0.01 PredHel=0 Topology=o</t>
  </si>
  <si>
    <t>ExpAA=0.10 First60=0.03 PredHel=0 Topology=o</t>
  </si>
  <si>
    <t>ExpAA=16.66 First60=16.38 PredHel=1 Topology=i9-31o</t>
  </si>
  <si>
    <t>ExpAA=0.27 First60=0.00 PredHel=0 Topology=o</t>
  </si>
  <si>
    <t>ExpAA=0.09 First60=0.01 PredHel=0 Topology=o</t>
  </si>
  <si>
    <t>ExpAA=0.00 First60=0.00 PredHel=0 Topology=o</t>
  </si>
  <si>
    <t xml:space="preserve"> 20-21</t>
  </si>
  <si>
    <t>ExpAA=6.23 First60=6.21 PredHel=0 Topology=o</t>
  </si>
  <si>
    <t>ExpAA=0.00 First60=0.00 PredHel=0 Topology=i</t>
  </si>
  <si>
    <t xml:space="preserve"> 19-20</t>
  </si>
  <si>
    <t>ExpAA=1.72 First60=1.72 PredHel=0 Topology=o</t>
  </si>
  <si>
    <t>ExpAA=16.00 First60=16.00 PredHel=1 Topology=o4-21i</t>
  </si>
  <si>
    <t>ExpAA=17.00 First60=17.00 PredHel=1 Topology=o4-21i</t>
  </si>
  <si>
    <t xml:space="preserve"> 24-25</t>
  </si>
  <si>
    <t>ExpAA=18.13 First60=18.13 PredHel=1 Topology=o5-24i</t>
  </si>
  <si>
    <t>ExpAA=17.02 First60=17.02 PredHel=1 Topology=o5-24i</t>
  </si>
  <si>
    <t>ExpAA=18.36 First60=18.36 PredHel=1 Topology=o5-24i</t>
  </si>
  <si>
    <t>ExpAA=18.27 First60=18.27 PredHel=1 Topology=i5-24o</t>
  </si>
  <si>
    <t>ExpAA=19.29 First60=19.29 PredHel=1 Topology=o4-21i</t>
  </si>
  <si>
    <t xml:space="preserve">. </t>
  </si>
  <si>
    <t>ExpAA=0.09 First60=0.00 PredHel=0 Topology=o</t>
  </si>
  <si>
    <t>ExpAA=0.03 First60=0.02 PredHel=0 Topology=o</t>
  </si>
  <si>
    <t>ExpAA=0.01 First60=0.01 PredHel=0 Topology=o</t>
  </si>
  <si>
    <t>ExpAA=2.15 First60=2.10 PredHel=0 Topology=o</t>
  </si>
  <si>
    <t>ExpAA=0.03 First60=0.03 PredHel=0 Topology=o</t>
  </si>
  <si>
    <t>ExpAA=0.42 First60=0.24 PredHel=0 Topology=o</t>
  </si>
  <si>
    <t>ExpAA=0.19 First60=0.00 PredHel=0 Topology=o</t>
  </si>
  <si>
    <t>ExpAA=1.05 First60=0.01 PredHel=0 Topology=o</t>
  </si>
  <si>
    <t>ExpAA=0.15 First60=0.07 PredHel=0 Topology=i</t>
  </si>
  <si>
    <t>ExpAA=1.23 First60=0.30 PredHel=0 Topology=i</t>
  </si>
  <si>
    <t>ExpAA=0.01 First60=0.01 PredHel=0 Topology=i</t>
  </si>
  <si>
    <t>ExpAA=0.44 First60=0.44 PredHel=0 Topology=o</t>
  </si>
  <si>
    <t>ExpAA=0.09 First60=0.09 PredHel=0 Topology=o</t>
  </si>
  <si>
    <t>ExpAA=0.48 First60=0.37 PredHel=0 Topology=o</t>
  </si>
  <si>
    <t>ExpAA=0.28 First60=0.04 PredHel=0 Topology=o</t>
  </si>
  <si>
    <t xml:space="preserve">    Deorphanized Xenopsylla peptide</t>
  </si>
  <si>
    <t xml:space="preserve">    Putative salivary secreted peptide</t>
  </si>
  <si>
    <t xml:space="preserve">    FS-H/FSI antigen family</t>
  </si>
  <si>
    <t>Housekeeping identities</t>
  </si>
  <si>
    <t>Salivary identities</t>
  </si>
  <si>
    <t xml:space="preserve">Defensin-1 </t>
  </si>
  <si>
    <t xml:space="preserve">Glycine-rich cell wall structural protein 1.8 </t>
  </si>
  <si>
    <t xml:space="preserve">Hypothetical secreted protein precursor </t>
  </si>
  <si>
    <t>FS-H/FSI antigen family member 1</t>
  </si>
  <si>
    <t>FS-H/FSI antigen family member 2</t>
  </si>
  <si>
    <t>FS-H/FSI antigen family member 3</t>
  </si>
  <si>
    <t>FS-H/FSI antigen family member 4</t>
  </si>
  <si>
    <t>FS-H/FSI antigen family member 5</t>
  </si>
  <si>
    <t>FS-H/FSI antigen family member 6</t>
  </si>
  <si>
    <t>FS-H/FSI antigen family member 7</t>
  </si>
  <si>
    <t>Deorphanized flea peptide</t>
  </si>
  <si>
    <t>Flea very short abundant peptide family</t>
  </si>
  <si>
    <t>Salivary expressed RTE</t>
  </si>
  <si>
    <t>gp.txt</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</si>
</sst>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Verdana"/>
      <family val="2"/>
    </font>
    <font>
      <sz val="11"/>
      <color theme="1"/>
      <name val="Verdana"/>
      <family val="2"/>
    </font>
    <font>
      <b/>
      <sz val="18"/>
      <color theme="3"/>
      <name val="Cambria"/>
      <family val="2"/>
      <scheme val="major"/>
    </font>
    <font>
      <b/>
      <sz val="15"/>
      <color theme="3"/>
      <name val="Verdana"/>
      <family val="2"/>
    </font>
    <font>
      <b/>
      <sz val="13"/>
      <color theme="3"/>
      <name val="Verdana"/>
      <family val="2"/>
    </font>
    <font>
      <b/>
      <sz val="11"/>
      <color theme="3"/>
      <name val="Verdana"/>
      <family val="2"/>
    </font>
    <font>
      <sz val="11"/>
      <color rgb="FF006100"/>
      <name val="Verdana"/>
      <family val="2"/>
    </font>
    <font>
      <sz val="11"/>
      <color rgb="FF9C0006"/>
      <name val="Verdana"/>
      <family val="2"/>
    </font>
    <font>
      <sz val="11"/>
      <color rgb="FF9C6500"/>
      <name val="Verdana"/>
      <family val="2"/>
    </font>
    <font>
      <sz val="11"/>
      <color rgb="FF3F3F76"/>
      <name val="Verdana"/>
      <family val="2"/>
    </font>
    <font>
      <b/>
      <sz val="11"/>
      <color rgb="FF3F3F3F"/>
      <name val="Verdana"/>
      <family val="2"/>
    </font>
    <font>
      <b/>
      <sz val="11"/>
      <color rgb="FFFA7D00"/>
      <name val="Verdana"/>
      <family val="2"/>
    </font>
    <font>
      <sz val="11"/>
      <color rgb="FFFA7D00"/>
      <name val="Verdana"/>
      <family val="2"/>
    </font>
    <font>
      <b/>
      <sz val="11"/>
      <color theme="0"/>
      <name val="Verdana"/>
      <family val="2"/>
    </font>
    <font>
      <sz val="11"/>
      <color rgb="FFFF0000"/>
      <name val="Verdana"/>
      <family val="2"/>
    </font>
    <font>
      <i/>
      <sz val="11"/>
      <color rgb="FF7F7F7F"/>
      <name val="Verdana"/>
      <family val="2"/>
    </font>
    <font>
      <b/>
      <sz val="11"/>
      <color theme="1"/>
      <name val="Verdana"/>
      <family val="2"/>
    </font>
    <font>
      <sz val="11"/>
      <color theme="0"/>
      <name val="Verdana"/>
      <family val="2"/>
    </font>
    <font>
      <b/>
      <sz val="11"/>
      <color rgb="FF3176C9"/>
      <name val="Verdana"/>
      <family val="2"/>
    </font>
    <font>
      <b/>
      <sz val="14"/>
      <color rgb="FF3176C9"/>
      <name val="Verdana"/>
      <family val="2"/>
    </font>
    <font>
      <u/>
      <sz val="11"/>
      <color theme="1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6"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alignment vertical="top"/>
      <protection locked="0"/>
    </xf>
  </cellStyleXfs>
  <cellXfs count="29">
    <xf numFmtId="0" fontId="0" fillId="0" borderId="0" xfId="0"/>
    <xf numFmtId="0" fontId="18" fillId="33" borderId="10" xfId="0" applyFont="1" applyFill="1" applyBorder="1" applyAlignment="1">
      <alignment horizontal="center" wrapText="1"/>
    </xf>
    <xf numFmtId="0" fontId="0" fillId="0" borderId="0" xfId="0" applyAlignment="1">
      <alignment horizontal="center"/>
    </xf>
    <xf numFmtId="0" fontId="18" fillId="33" borderId="12" xfId="0" applyFont="1" applyFill="1" applyBorder="1" applyAlignment="1">
      <alignment horizontal="center" wrapText="1"/>
    </xf>
    <xf numFmtId="0" fontId="0" fillId="33" borderId="13" xfId="0" applyFill="1" applyBorder="1"/>
    <xf numFmtId="11" fontId="0" fillId="0" borderId="0" xfId="0" applyNumberFormat="1"/>
    <xf numFmtId="0" fontId="18" fillId="34" borderId="10" xfId="0" applyFont="1" applyFill="1" applyBorder="1" applyAlignment="1">
      <alignment horizontal="center" wrapText="1"/>
    </xf>
    <xf numFmtId="0" fontId="0" fillId="34" borderId="13" xfId="0" applyFill="1" applyBorder="1" applyAlignment="1">
      <alignment horizontal="center"/>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7" xfId="0" applyFont="1" applyFill="1" applyBorder="1" applyAlignment="1">
      <alignment horizontal="center" wrapText="1"/>
    </xf>
    <xf numFmtId="0" fontId="18" fillId="34" borderId="14" xfId="0" applyFont="1" applyFill="1" applyBorder="1" applyAlignment="1">
      <alignment horizontal="center" wrapText="1"/>
    </xf>
    <xf numFmtId="0" fontId="18" fillId="34" borderId="22" xfId="0" applyFont="1" applyFill="1" applyBorder="1" applyAlignment="1">
      <alignment horizontal="center" wrapText="1"/>
    </xf>
    <xf numFmtId="0" fontId="18" fillId="33" borderId="11" xfId="0" applyFont="1" applyFill="1" applyBorder="1" applyAlignment="1">
      <alignment horizontal="left"/>
    </xf>
    <xf numFmtId="0" fontId="19" fillId="34" borderId="20" xfId="0" applyFont="1" applyFill="1" applyBorder="1" applyAlignment="1">
      <alignment horizontal="center" wrapText="1"/>
    </xf>
    <xf numFmtId="0" fontId="19" fillId="34" borderId="18" xfId="0" applyFont="1" applyFill="1" applyBorder="1" applyAlignment="1">
      <alignment horizontal="left"/>
    </xf>
    <xf numFmtId="0" fontId="19" fillId="34" borderId="19" xfId="0" applyFont="1" applyFill="1" applyBorder="1" applyAlignment="1">
      <alignment horizontal="center" wrapText="1"/>
    </xf>
    <xf numFmtId="0" fontId="19" fillId="34" borderId="21" xfId="0" applyFont="1" applyFill="1" applyBorder="1" applyAlignment="1">
      <alignment horizontal="left"/>
    </xf>
    <xf numFmtId="0" fontId="18" fillId="34" borderId="21" xfId="0" applyFont="1" applyFill="1" applyBorder="1" applyAlignment="1">
      <alignment horizontal="center" wrapText="1"/>
    </xf>
    <xf numFmtId="0" fontId="0" fillId="33" borderId="13" xfId="0" applyFill="1" applyBorder="1" applyAlignment="1">
      <alignment horizontal="center"/>
    </xf>
    <xf numFmtId="0" fontId="18" fillId="33" borderId="15" xfId="0" applyFont="1" applyFill="1" applyBorder="1" applyAlignment="1">
      <alignment horizontal="left" wrapText="1"/>
    </xf>
    <xf numFmtId="0" fontId="18" fillId="34" borderId="21" xfId="0" applyFont="1" applyFill="1" applyBorder="1" applyAlignment="1">
      <alignment horizontal="left" wrapText="1"/>
    </xf>
    <xf numFmtId="0" fontId="18" fillId="33" borderId="12" xfId="0" applyFont="1" applyFill="1" applyBorder="1" applyAlignment="1">
      <alignment horizontal="left" wrapText="1"/>
    </xf>
    <xf numFmtId="0" fontId="0" fillId="0" borderId="0" xfId="0" applyAlignment="1">
      <alignment horizontal="left"/>
    </xf>
    <xf numFmtId="0" fontId="19" fillId="34" borderId="19" xfId="0" applyFont="1" applyFill="1" applyBorder="1" applyAlignment="1">
      <alignment horizontal="left" wrapText="1"/>
    </xf>
    <xf numFmtId="0" fontId="20" fillId="0" borderId="0" xfId="42" applyAlignment="1" applyProtection="1"/>
    <xf numFmtId="0" fontId="18" fillId="33" borderId="0" xfId="0" applyFont="1" applyFill="1" applyBorder="1" applyAlignment="1">
      <alignment horizontal="center" wrapText="1"/>
    </xf>
    <xf numFmtId="0" fontId="0" fillId="0" borderId="12" xfId="0"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146"/>
  <sheetViews>
    <sheetView tabSelected="1" zoomScale="70" zoomScaleNormal="70" workbookViewId="0">
      <pane xSplit="1" ySplit="1" topLeftCell="AE2" activePane="bottomRight" state="frozen"/>
      <selection pane="topRight" activeCell="B1" sqref="B1"/>
      <selection pane="bottomLeft" activeCell="A2" sqref="A2"/>
      <selection pane="bottomRight" activeCell="A2" sqref="A2"/>
    </sheetView>
  </sheetViews>
  <sheetFormatPr defaultRowHeight="14.25" x14ac:dyDescent="0.2"/>
  <cols>
    <col min="1" max="1" width="40" customWidth="1"/>
    <col min="2" max="2" width="8.796875" style="2"/>
    <col min="8" max="10" width="8.796875" style="2"/>
    <col min="11" max="11" width="5.796875" style="20" customWidth="1"/>
    <col min="12" max="12" width="5.09765625" style="2" customWidth="1"/>
    <col min="13" max="16" width="8.796875" style="2"/>
    <col min="17" max="17" width="8.796875" style="24"/>
    <col min="18" max="18" width="5.796875" style="20" customWidth="1"/>
    <col min="19" max="23" width="5.69921875" style="2" customWidth="1"/>
    <col min="24" max="24" width="5.796875" style="20" customWidth="1"/>
    <col min="25" max="27" width="8.796875" style="2"/>
    <col min="28" max="28" width="13.59765625" customWidth="1"/>
    <col min="29" max="29" width="17.19921875" customWidth="1"/>
    <col min="31" max="31" width="8.796875" style="2"/>
    <col min="32" max="32" width="16.3984375" style="4" customWidth="1"/>
    <col min="34" max="34" width="13.19921875" customWidth="1"/>
    <col min="41" max="41" width="8.796875" style="4"/>
    <col min="50" max="50" width="8.796875" style="4"/>
    <col min="58" max="72" width="0" hidden="1" customWidth="1"/>
    <col min="73" max="73" width="8.796875" style="4"/>
    <col min="77" max="77" width="8.796875" style="4"/>
    <col min="80" max="80" width="8.796875" style="4"/>
    <col min="82" max="82" width="8.796875" style="4"/>
    <col min="84" max="84" width="8.796875" style="4"/>
    <col min="89" max="89" width="6.8984375" style="7" customWidth="1"/>
    <col min="90" max="90" width="6.8984375" style="2" customWidth="1"/>
    <col min="91" max="91" width="6.8984375" style="7" customWidth="1"/>
    <col min="92" max="92" width="6.8984375" style="2" customWidth="1"/>
    <col min="93" max="93" width="6.8984375" style="7" customWidth="1"/>
    <col min="94" max="94" width="6.8984375" style="2" customWidth="1"/>
    <col min="95" max="95" width="6.8984375" style="7" customWidth="1"/>
    <col min="96" max="96" width="6.8984375" style="2" customWidth="1"/>
    <col min="97" max="97" width="6.8984375" style="7" customWidth="1"/>
    <col min="98" max="98" width="6.8984375" style="2" customWidth="1"/>
    <col min="99" max="99" width="6.8984375" style="7" customWidth="1"/>
    <col min="100" max="100" width="6.8984375" style="2" customWidth="1"/>
    <col min="101" max="101" width="6.8984375" style="7" customWidth="1"/>
    <col min="102" max="102" width="6.8984375" style="2" customWidth="1"/>
    <col min="103" max="103" width="6.8984375" style="7" customWidth="1"/>
    <col min="104" max="104" width="6.8984375" style="2" customWidth="1"/>
    <col min="105" max="105" width="6.8984375" style="7" customWidth="1"/>
    <col min="106" max="106" width="6.8984375" style="2" customWidth="1"/>
    <col min="107" max="107" width="6.8984375" style="7" customWidth="1"/>
    <col min="108" max="108" width="6.8984375" style="2" customWidth="1"/>
    <col min="109" max="109" width="6.8984375" style="7" customWidth="1"/>
    <col min="110" max="110" width="6.8984375" style="2" customWidth="1"/>
    <col min="111" max="111" width="6.8984375" style="7" customWidth="1"/>
    <col min="112" max="112" width="6.8984375" style="2" customWidth="1"/>
    <col min="113" max="113" width="6.8984375" style="7" customWidth="1"/>
    <col min="114" max="114" width="6.8984375" style="2" customWidth="1"/>
    <col min="115" max="115" width="6.8984375" style="7" customWidth="1"/>
    <col min="116" max="116" width="6.8984375" style="2" customWidth="1"/>
    <col min="117" max="117" width="6.8984375" style="7" customWidth="1"/>
    <col min="118" max="118" width="6.8984375" style="2" customWidth="1"/>
    <col min="119" max="119" width="6.8984375" style="7" customWidth="1"/>
    <col min="120" max="120" width="6.8984375" style="2" customWidth="1"/>
    <col min="121" max="121" width="6.8984375" style="7" customWidth="1"/>
    <col min="122" max="122" width="6.8984375" style="2" customWidth="1"/>
    <col min="123" max="123" width="6.8984375" style="7" customWidth="1"/>
    <col min="124" max="124" width="6.8984375" style="2" customWidth="1"/>
  </cols>
  <sheetData>
    <row r="1" spans="1:124" s="8" customFormat="1" ht="157.5" thickBot="1" x14ac:dyDescent="0.25">
      <c r="B1" s="9" t="s">
        <v>433</v>
      </c>
      <c r="C1" s="8" t="s">
        <v>0</v>
      </c>
      <c r="D1" s="8" t="s">
        <v>18</v>
      </c>
      <c r="E1" s="8" t="s">
        <v>0</v>
      </c>
      <c r="F1" s="9" t="s">
        <v>436</v>
      </c>
      <c r="G1" s="8" t="s">
        <v>1</v>
      </c>
      <c r="H1" s="8" t="s">
        <v>2</v>
      </c>
      <c r="I1" s="8" t="s">
        <v>19</v>
      </c>
      <c r="J1" s="9" t="s">
        <v>20</v>
      </c>
      <c r="K1" s="8" t="s">
        <v>604</v>
      </c>
      <c r="L1" s="9" t="s">
        <v>530</v>
      </c>
      <c r="M1" s="9" t="s">
        <v>531</v>
      </c>
      <c r="N1" s="9" t="s">
        <v>532</v>
      </c>
      <c r="O1" s="9" t="s">
        <v>533</v>
      </c>
      <c r="P1" s="9" t="s">
        <v>534</v>
      </c>
      <c r="Q1" s="21" t="s">
        <v>535</v>
      </c>
      <c r="R1" s="8" t="s">
        <v>536</v>
      </c>
      <c r="S1" s="9" t="s">
        <v>537</v>
      </c>
      <c r="T1" s="9" t="s">
        <v>538</v>
      </c>
      <c r="U1" s="9" t="s">
        <v>539</v>
      </c>
      <c r="V1" s="9" t="s">
        <v>540</v>
      </c>
      <c r="W1" s="9" t="s">
        <v>541</v>
      </c>
      <c r="X1" s="8" t="str">
        <f>HYPERLINK("http://www.cbs.dtu.dk/services/NetOGlyc/","No. potential glyc sites")</f>
        <v>No. potential glyc sites</v>
      </c>
      <c r="Y1" s="9" t="s">
        <v>542</v>
      </c>
      <c r="Z1" s="9" t="s">
        <v>543</v>
      </c>
      <c r="AA1" s="9" t="s">
        <v>544</v>
      </c>
      <c r="AB1" s="9" t="s">
        <v>434</v>
      </c>
      <c r="AC1" s="9" t="s">
        <v>435</v>
      </c>
      <c r="AD1" s="9" t="s">
        <v>436</v>
      </c>
      <c r="AE1" s="9" t="s">
        <v>433</v>
      </c>
      <c r="AF1" s="8" t="s">
        <v>21</v>
      </c>
      <c r="AG1" s="10" t="s">
        <v>22</v>
      </c>
      <c r="AH1" s="8" t="s">
        <v>23</v>
      </c>
      <c r="AI1" s="8" t="s">
        <v>24</v>
      </c>
      <c r="AJ1" s="8" t="s">
        <v>25</v>
      </c>
      <c r="AK1" s="8" t="s">
        <v>26</v>
      </c>
      <c r="AL1" s="8" t="s">
        <v>27</v>
      </c>
      <c r="AM1" s="8" t="s">
        <v>28</v>
      </c>
      <c r="AN1" s="9" t="s">
        <v>29</v>
      </c>
      <c r="AO1" s="8" t="s">
        <v>30</v>
      </c>
      <c r="AP1" s="10" t="s">
        <v>22</v>
      </c>
      <c r="AQ1" s="8" t="s">
        <v>23</v>
      </c>
      <c r="AR1" s="8" t="s">
        <v>24</v>
      </c>
      <c r="AS1" s="8" t="s">
        <v>25</v>
      </c>
      <c r="AT1" s="8" t="s">
        <v>26</v>
      </c>
      <c r="AU1" s="8" t="s">
        <v>27</v>
      </c>
      <c r="AV1" s="8" t="s">
        <v>28</v>
      </c>
      <c r="AW1" s="9" t="s">
        <v>29</v>
      </c>
      <c r="AX1" s="8" t="s">
        <v>31</v>
      </c>
      <c r="AY1" s="10" t="s">
        <v>22</v>
      </c>
      <c r="AZ1" s="8" t="s">
        <v>32</v>
      </c>
      <c r="BA1" s="8" t="s">
        <v>33</v>
      </c>
      <c r="BB1" s="8" t="s">
        <v>34</v>
      </c>
      <c r="BC1" s="8" t="s">
        <v>35</v>
      </c>
      <c r="BD1" s="8" t="s">
        <v>36</v>
      </c>
      <c r="BE1" s="8" t="s">
        <v>37</v>
      </c>
      <c r="BF1" s="8" t="s">
        <v>22</v>
      </c>
      <c r="BG1" s="8" t="s">
        <v>38</v>
      </c>
      <c r="BH1" s="8" t="s">
        <v>39</v>
      </c>
      <c r="BI1" s="8" t="s">
        <v>34</v>
      </c>
      <c r="BJ1" s="8" t="s">
        <v>35</v>
      </c>
      <c r="BK1" s="8" t="s">
        <v>36</v>
      </c>
      <c r="BL1" s="8" t="s">
        <v>37</v>
      </c>
      <c r="BM1" s="8" t="s">
        <v>22</v>
      </c>
      <c r="BN1" s="8" t="s">
        <v>40</v>
      </c>
      <c r="BO1" s="8" t="s">
        <v>41</v>
      </c>
      <c r="BP1" s="8" t="s">
        <v>34</v>
      </c>
      <c r="BQ1" s="8" t="s">
        <v>35</v>
      </c>
      <c r="BR1" s="8" t="s">
        <v>36</v>
      </c>
      <c r="BS1" s="8" t="s">
        <v>37</v>
      </c>
      <c r="BT1" s="9" t="s">
        <v>22</v>
      </c>
      <c r="BU1" s="8" t="s">
        <v>42</v>
      </c>
      <c r="BV1" s="10" t="s">
        <v>22</v>
      </c>
      <c r="BW1" s="8" t="s">
        <v>43</v>
      </c>
      <c r="BX1" s="9" t="s">
        <v>44</v>
      </c>
      <c r="BY1" s="8" t="s">
        <v>45</v>
      </c>
      <c r="BZ1" s="10" t="s">
        <v>22</v>
      </c>
      <c r="CA1" s="9" t="s">
        <v>46</v>
      </c>
      <c r="CB1" s="8" t="s">
        <v>47</v>
      </c>
      <c r="CC1" s="11" t="s">
        <v>48</v>
      </c>
      <c r="CD1" s="8" t="s">
        <v>49</v>
      </c>
      <c r="CE1" s="11" t="s">
        <v>48</v>
      </c>
      <c r="CF1" s="8" t="s">
        <v>50</v>
      </c>
      <c r="CG1" s="10" t="s">
        <v>22</v>
      </c>
      <c r="CH1" s="8" t="s">
        <v>23</v>
      </c>
      <c r="CI1" s="8" t="s">
        <v>27</v>
      </c>
      <c r="CJ1" s="8" t="s">
        <v>28</v>
      </c>
      <c r="CK1" s="12" t="s">
        <v>527</v>
      </c>
      <c r="CL1" s="10" t="s">
        <v>418</v>
      </c>
      <c r="CM1" s="12" t="s">
        <v>528</v>
      </c>
      <c r="CN1" s="10" t="s">
        <v>418</v>
      </c>
      <c r="CO1" s="12" t="s">
        <v>529</v>
      </c>
      <c r="CP1" s="10" t="s">
        <v>418</v>
      </c>
      <c r="CQ1" s="12" t="s">
        <v>417</v>
      </c>
      <c r="CR1" s="10" t="s">
        <v>418</v>
      </c>
      <c r="CS1" s="12" t="s">
        <v>419</v>
      </c>
      <c r="CT1" s="10" t="s">
        <v>418</v>
      </c>
      <c r="CU1" s="12" t="s">
        <v>420</v>
      </c>
      <c r="CV1" s="10" t="s">
        <v>418</v>
      </c>
      <c r="CW1" s="12" t="s">
        <v>421</v>
      </c>
      <c r="CX1" s="10" t="s">
        <v>418</v>
      </c>
      <c r="CY1" s="12" t="s">
        <v>422</v>
      </c>
      <c r="CZ1" s="10" t="s">
        <v>418</v>
      </c>
      <c r="DA1" s="12" t="s">
        <v>423</v>
      </c>
      <c r="DB1" s="10" t="s">
        <v>418</v>
      </c>
      <c r="DC1" s="12" t="s">
        <v>424</v>
      </c>
      <c r="DD1" s="10" t="s">
        <v>418</v>
      </c>
      <c r="DE1" s="12" t="s">
        <v>425</v>
      </c>
      <c r="DF1" s="10" t="s">
        <v>418</v>
      </c>
      <c r="DG1" s="12" t="s">
        <v>426</v>
      </c>
      <c r="DH1" s="10" t="s">
        <v>418</v>
      </c>
      <c r="DI1" s="12" t="s">
        <v>427</v>
      </c>
      <c r="DJ1" s="10" t="s">
        <v>418</v>
      </c>
      <c r="DK1" s="12" t="s">
        <v>428</v>
      </c>
      <c r="DL1" s="10" t="s">
        <v>418</v>
      </c>
      <c r="DM1" s="12" t="s">
        <v>429</v>
      </c>
      <c r="DN1" s="10" t="s">
        <v>418</v>
      </c>
      <c r="DO1" s="12" t="s">
        <v>430</v>
      </c>
      <c r="DP1" s="10" t="s">
        <v>418</v>
      </c>
      <c r="DQ1" s="12" t="s">
        <v>431</v>
      </c>
      <c r="DR1" s="10" t="s">
        <v>418</v>
      </c>
      <c r="DS1" s="12" t="s">
        <v>432</v>
      </c>
      <c r="DT1" s="10" t="s">
        <v>418</v>
      </c>
    </row>
    <row r="2" spans="1:124" s="19" customFormat="1" ht="18" x14ac:dyDescent="0.25">
      <c r="A2" s="18" t="s">
        <v>520</v>
      </c>
      <c r="K2" s="13" t="s">
        <v>7</v>
      </c>
      <c r="L2" s="19" t="s">
        <v>7</v>
      </c>
      <c r="M2" s="19" t="s">
        <v>7</v>
      </c>
      <c r="N2" s="19" t="s">
        <v>7</v>
      </c>
      <c r="O2" s="19" t="s">
        <v>7</v>
      </c>
      <c r="P2" s="19" t="s">
        <v>7</v>
      </c>
      <c r="Q2" s="22" t="s">
        <v>7</v>
      </c>
      <c r="R2" s="13" t="s">
        <v>7</v>
      </c>
      <c r="S2" s="19" t="s">
        <v>7</v>
      </c>
      <c r="T2" s="19" t="s">
        <v>7</v>
      </c>
      <c r="U2" s="19" t="s">
        <v>7</v>
      </c>
      <c r="V2" s="19" t="s">
        <v>7</v>
      </c>
      <c r="W2" s="19" t="s">
        <v>7</v>
      </c>
      <c r="X2" s="13" t="s">
        <v>7</v>
      </c>
      <c r="Y2" s="19" t="s">
        <v>7</v>
      </c>
      <c r="Z2" s="19" t="s">
        <v>7</v>
      </c>
      <c r="AA2" s="19" t="s">
        <v>7</v>
      </c>
      <c r="AF2" s="13"/>
      <c r="AO2" s="13"/>
      <c r="AX2" s="13"/>
      <c r="BU2" s="13"/>
      <c r="BY2" s="13"/>
      <c r="CB2" s="13"/>
      <c r="CD2" s="13"/>
      <c r="CF2" s="13"/>
      <c r="CK2" s="13"/>
      <c r="CM2" s="13"/>
      <c r="CO2" s="13"/>
      <c r="CQ2" s="13"/>
      <c r="CS2" s="13"/>
      <c r="CU2" s="13"/>
      <c r="CW2" s="13"/>
      <c r="CY2" s="13"/>
      <c r="DA2" s="13"/>
      <c r="DC2" s="13"/>
      <c r="DE2" s="13"/>
      <c r="DG2" s="13"/>
      <c r="DI2" s="13"/>
      <c r="DK2" s="13"/>
      <c r="DM2" s="13"/>
      <c r="DO2" s="13"/>
      <c r="DQ2" s="13"/>
      <c r="DS2" s="13"/>
    </row>
    <row r="3" spans="1:124" s="3" customFormat="1" x14ac:dyDescent="0.2">
      <c r="A3" s="14" t="s">
        <v>451</v>
      </c>
      <c r="K3" s="1" t="s">
        <v>7</v>
      </c>
      <c r="L3" s="3" t="s">
        <v>7</v>
      </c>
      <c r="M3" s="3" t="s">
        <v>7</v>
      </c>
      <c r="N3" s="3" t="s">
        <v>7</v>
      </c>
      <c r="O3" s="3" t="s">
        <v>7</v>
      </c>
      <c r="P3" s="3" t="s">
        <v>7</v>
      </c>
      <c r="Q3" s="23" t="s">
        <v>7</v>
      </c>
      <c r="R3" s="1" t="s">
        <v>7</v>
      </c>
      <c r="S3" s="3" t="s">
        <v>7</v>
      </c>
      <c r="T3" s="3" t="s">
        <v>7</v>
      </c>
      <c r="U3" s="3" t="s">
        <v>7</v>
      </c>
      <c r="V3" s="3" t="s">
        <v>7</v>
      </c>
      <c r="W3" s="3" t="s">
        <v>7</v>
      </c>
      <c r="X3" s="1" t="s">
        <v>7</v>
      </c>
      <c r="Y3" s="3" t="s">
        <v>7</v>
      </c>
      <c r="Z3" s="3" t="s">
        <v>7</v>
      </c>
      <c r="AA3" s="3" t="s">
        <v>7</v>
      </c>
      <c r="AF3" s="1"/>
      <c r="AO3" s="1"/>
      <c r="AX3" s="1"/>
      <c r="BU3" s="1"/>
      <c r="BY3" s="1"/>
      <c r="CB3" s="1"/>
      <c r="CD3" s="1"/>
      <c r="CF3" s="1"/>
      <c r="CK3" s="6"/>
      <c r="CM3" s="6"/>
      <c r="CO3" s="6"/>
      <c r="CQ3" s="6"/>
      <c r="CS3" s="6"/>
      <c r="CU3" s="6"/>
      <c r="CW3" s="6"/>
      <c r="CY3" s="6"/>
      <c r="DA3" s="6"/>
      <c r="DC3" s="6"/>
      <c r="DE3" s="6"/>
      <c r="DG3" s="6"/>
      <c r="DI3" s="6"/>
      <c r="DK3" s="6"/>
      <c r="DM3" s="6"/>
      <c r="DO3" s="6"/>
      <c r="DQ3" s="6"/>
      <c r="DS3" s="6"/>
    </row>
    <row r="4" spans="1:124" s="3" customFormat="1" x14ac:dyDescent="0.2">
      <c r="A4" s="14" t="s">
        <v>525</v>
      </c>
      <c r="K4" s="1" t="s">
        <v>7</v>
      </c>
      <c r="L4" s="3" t="s">
        <v>7</v>
      </c>
      <c r="M4" s="3" t="s">
        <v>7</v>
      </c>
      <c r="N4" s="3" t="s">
        <v>7</v>
      </c>
      <c r="O4" s="3" t="s">
        <v>7</v>
      </c>
      <c r="P4" s="3" t="s">
        <v>7</v>
      </c>
      <c r="Q4" s="23" t="s">
        <v>7</v>
      </c>
      <c r="R4" s="1" t="s">
        <v>7</v>
      </c>
      <c r="S4" s="3" t="s">
        <v>7</v>
      </c>
      <c r="T4" s="3" t="s">
        <v>7</v>
      </c>
      <c r="U4" s="3" t="s">
        <v>7</v>
      </c>
      <c r="V4" s="3" t="s">
        <v>7</v>
      </c>
      <c r="W4" s="3" t="s">
        <v>7</v>
      </c>
      <c r="X4" s="1" t="s">
        <v>7</v>
      </c>
      <c r="Y4" s="3" t="s">
        <v>7</v>
      </c>
      <c r="Z4" s="3" t="s">
        <v>7</v>
      </c>
      <c r="AA4" s="3" t="s">
        <v>7</v>
      </c>
      <c r="AF4" s="1"/>
      <c r="AO4" s="1"/>
      <c r="AX4" s="1"/>
      <c r="BU4" s="1"/>
      <c r="BY4" s="1"/>
      <c r="CB4" s="1"/>
      <c r="CD4" s="1"/>
      <c r="CF4" s="1"/>
      <c r="CK4" s="6"/>
      <c r="CM4" s="6"/>
      <c r="CO4" s="6"/>
      <c r="CQ4" s="6"/>
      <c r="CS4" s="6"/>
      <c r="CU4" s="6"/>
      <c r="CW4" s="6"/>
      <c r="CY4" s="6"/>
      <c r="DA4" s="6"/>
      <c r="DC4" s="6"/>
      <c r="DE4" s="6"/>
      <c r="DG4" s="6"/>
      <c r="DI4" s="6"/>
      <c r="DK4" s="6"/>
      <c r="DM4" s="6"/>
      <c r="DO4" s="6"/>
      <c r="DQ4" s="6"/>
      <c r="DS4" s="6"/>
    </row>
    <row r="5" spans="1:124" x14ac:dyDescent="0.2">
      <c r="A5" t="str">
        <f>HYPERLINK("http://exon.niaid.nih.gov/transcriptome/C_felis/S2/links/pep/Cf-100-pep.txt","Cf-100")</f>
        <v>Cf-100</v>
      </c>
      <c r="B5" s="2">
        <v>7</v>
      </c>
      <c r="C5">
        <v>188</v>
      </c>
      <c r="D5" t="str">
        <f>HYPERLINK("http://exon.niaid.nih.gov/transcriptome/C_felis/S2/links/cds/Cf-100-cds.txt","Cf-100")</f>
        <v>Cf-100</v>
      </c>
      <c r="E5">
        <v>567</v>
      </c>
      <c r="F5" t="s">
        <v>453</v>
      </c>
      <c r="G5">
        <v>0</v>
      </c>
      <c r="I5" s="2" t="s">
        <v>9</v>
      </c>
      <c r="J5" s="2" t="s">
        <v>3</v>
      </c>
      <c r="K5" s="20" t="str">
        <f>HYPERLINK("http://exon.niaid.nih.gov/transcriptome/C_felis/S2/links/Sigp/Cf-100-SigP.txt","CYT")</f>
        <v>CYT</v>
      </c>
      <c r="L5" s="2" t="s">
        <v>7</v>
      </c>
      <c r="M5" s="2">
        <v>22.015999999999998</v>
      </c>
      <c r="N5" s="2">
        <v>9.1199999999999992</v>
      </c>
      <c r="O5" s="2" t="s">
        <v>7</v>
      </c>
      <c r="P5" s="2" t="s">
        <v>7</v>
      </c>
      <c r="Q5" s="24" t="s">
        <v>546</v>
      </c>
      <c r="R5" s="20">
        <v>0</v>
      </c>
      <c r="S5" s="2" t="s">
        <v>7</v>
      </c>
      <c r="T5" s="2" t="s">
        <v>7</v>
      </c>
      <c r="U5" s="2" t="s">
        <v>7</v>
      </c>
      <c r="V5" s="2" t="s">
        <v>7</v>
      </c>
      <c r="W5" s="2" t="s">
        <v>7</v>
      </c>
      <c r="X5" s="20" t="str">
        <f>HYPERLINK("http://exon.niaid.nih.gov/transcriptome/C_felis/S2/links/netoglyc/CF-100-netoglyc.txt","0")</f>
        <v>0</v>
      </c>
      <c r="Y5" s="2">
        <v>10.6</v>
      </c>
      <c r="Z5" s="2">
        <v>7.4</v>
      </c>
      <c r="AA5" s="2">
        <v>2.7</v>
      </c>
      <c r="AB5" t="s">
        <v>451</v>
      </c>
      <c r="AC5" t="s">
        <v>452</v>
      </c>
      <c r="AD5" t="s">
        <v>453</v>
      </c>
      <c r="AE5" s="2">
        <v>7</v>
      </c>
      <c r="AF5" s="4" t="str">
        <f>HYPERLINK("http://exon.niaid.nih.gov/transcriptome/C_felis/S2/links/NR/Cf-100-NR.txt","putative truncated esterase")</f>
        <v>putative truncated esterase</v>
      </c>
      <c r="AG5" t="str">
        <f>HYPERLINK("http://www.ncbi.nlm.nih.gov/sutils/blink.cgi?pid=121511890","3E-045")</f>
        <v>3E-045</v>
      </c>
      <c r="AH5" t="str">
        <f>HYPERLINK("http://www.ncbi.nlm.nih.gov/protein/121511890","gi|121511890")</f>
        <v>gi|121511890</v>
      </c>
      <c r="AI5">
        <v>185</v>
      </c>
      <c r="AJ5">
        <v>145</v>
      </c>
      <c r="AK5">
        <v>227</v>
      </c>
      <c r="AL5">
        <v>56</v>
      </c>
      <c r="AM5">
        <v>64</v>
      </c>
      <c r="AN5" t="s">
        <v>63</v>
      </c>
      <c r="AO5" s="4" t="str">
        <f>HYPERLINK("http://exon.niaid.nih.gov/transcriptome/C_felis/S2/links/SWISSP/Cf-100-SWISSP.txt","Esterase B1")</f>
        <v>Esterase B1</v>
      </c>
      <c r="AP5" t="str">
        <f>HYPERLINK("http://www.uniprot.org/uniprot/P16854","3E-004")</f>
        <v>3E-004</v>
      </c>
      <c r="AQ5" t="s">
        <v>139</v>
      </c>
      <c r="AR5">
        <v>45.1</v>
      </c>
      <c r="AS5">
        <v>155</v>
      </c>
      <c r="AT5">
        <v>540</v>
      </c>
      <c r="AU5">
        <v>25</v>
      </c>
      <c r="AV5">
        <v>29</v>
      </c>
      <c r="AW5" t="s">
        <v>140</v>
      </c>
      <c r="AX5" s="4" t="s">
        <v>122</v>
      </c>
      <c r="AY5">
        <f>HYPERLINK("http://exon.niaid.nih.gov/transcriptome/C_felis/S2/links/GO/Cf-100-GO.txt",0.00000000000003)</f>
        <v>2.9999999999999998E-14</v>
      </c>
      <c r="AZ5" t="str">
        <f>HYPERLINK("http://amigo.geneontology.org/cgi-bin/amigo/term_details?term=GO:0004091","GO:0004091")</f>
        <v>GO:0004091</v>
      </c>
      <c r="BA5" t="s">
        <v>123</v>
      </c>
      <c r="BB5" t="s">
        <v>124</v>
      </c>
      <c r="BC5" t="s">
        <v>125</v>
      </c>
      <c r="BD5" t="str">
        <f>HYPERLINK("http://www.genome.jp/dbget-bin/www_bfind_sub?mode=bfind&amp;max_hit=1000&amp;dbkey=kegg&amp;keywords=EC:3.1.1.1","EC:3.1.1.1")</f>
        <v>EC:3.1.1.1</v>
      </c>
      <c r="BE5" t="str">
        <f>HYPERLINK("http://www.genome.jp/dbget-bin/www_bget?rn:R00630","KEGG:R00630")</f>
        <v>KEGG:R00630</v>
      </c>
      <c r="BF5">
        <v>4.0000000000000001E-8</v>
      </c>
      <c r="BG5" t="str">
        <f>HYPERLINK("http://amigo.geneontology.org/cgi-bin/amigo/term_details?term=GO:0005737","GO:0005737")</f>
        <v>GO:0005737</v>
      </c>
      <c r="BH5" t="s">
        <v>69</v>
      </c>
      <c r="BI5" t="s">
        <v>70</v>
      </c>
      <c r="BJ5" t="s">
        <v>7</v>
      </c>
      <c r="BK5" t="s">
        <v>7</v>
      </c>
      <c r="BM5">
        <v>4.0000000000000001E-8</v>
      </c>
      <c r="BN5" t="str">
        <f>HYPERLINK("http://amigo.geneontology.org/cgi-bin/amigo/term_details?term=GO:0008150","GO:0008150")</f>
        <v>GO:0008150</v>
      </c>
      <c r="BO5" t="s">
        <v>117</v>
      </c>
      <c r="BP5" t="s">
        <v>118</v>
      </c>
      <c r="BQ5" t="s">
        <v>119</v>
      </c>
      <c r="BR5" t="s">
        <v>7</v>
      </c>
      <c r="BT5">
        <v>4.0000000000000001E-8</v>
      </c>
      <c r="BU5" s="4" t="str">
        <f>HYPERLINK("http://exon.niaid.nih.gov/transcriptome/C_felis/S2/links/KOG/Cf-100-KOG.txt","Carboxylesterase and related proteins")</f>
        <v>Carboxylesterase and related proteins</v>
      </c>
      <c r="BV5" t="str">
        <f>HYPERLINK("http://www.ncbi.nlm.nih.gov/COG/grace/shokog.cgi?KOG1516","5E-008")</f>
        <v>5E-008</v>
      </c>
      <c r="BW5" t="s">
        <v>71</v>
      </c>
      <c r="BX5" t="str">
        <f>HYPERLINK("http://exon.niaid.nih.gov/transcriptome/C_felis/S2/links/KOG/Cf-100-KOG.txt","KOG1516")</f>
        <v>KOG1516</v>
      </c>
      <c r="BY5" s="4" t="str">
        <f>HYPERLINK("http://exon.niaid.nih.gov/transcriptome/C_felis/S2/links/CDD/Cf-100-CDD.txt","COesterase")</f>
        <v>COesterase</v>
      </c>
      <c r="BZ5" t="str">
        <f>HYPERLINK("http://www.ncbi.nlm.nih.gov/Structure/cdd/cddsrv.cgi?uid=pfam00135&amp;version=v4.0","2E-012")</f>
        <v>2E-012</v>
      </c>
      <c r="CA5" t="s">
        <v>141</v>
      </c>
      <c r="CB5" s="4" t="str">
        <f>HYPERLINK("http://exon.niaid.nih.gov/transcriptome/C_felis/S2/links/PFAM/Cf-100-PFAM.txt","COesterase")</f>
        <v>COesterase</v>
      </c>
      <c r="CC5" t="str">
        <f>HYPERLINK("http://pfam.sanger.ac.uk/family?acc=PF00135","3E-013")</f>
        <v>3E-013</v>
      </c>
      <c r="CD5" s="4" t="str">
        <f>HYPERLINK("http://exon.niaid.nih.gov/transcriptome/C_felis/S2/links/SMART/Cf-100-SMART.txt","MD")</f>
        <v>MD</v>
      </c>
      <c r="CE5" t="str">
        <f>HYPERLINK("http://smart.embl-heidelberg.de/smart/do_annotation.pl?DOMAIN=MD&amp;BLAST=DUMMY","0.52")</f>
        <v>0.52</v>
      </c>
      <c r="CF5" s="4" t="s">
        <v>7</v>
      </c>
      <c r="CG5" t="s">
        <v>7</v>
      </c>
      <c r="CH5" t="s">
        <v>7</v>
      </c>
      <c r="CI5" t="s">
        <v>7</v>
      </c>
      <c r="CJ5" t="s">
        <v>7</v>
      </c>
      <c r="CK5" s="7">
        <f>HYPERLINK("http://exon.niaid.nih.gov/transcriptome/C_felis/S2/links/cluster/cf-pep95-2-Id-CLU5.txt", 5)</f>
        <v>5</v>
      </c>
      <c r="CL5" s="2">
        <f>HYPERLINK("http://exon.niaid.nih.gov/transcriptome/C_felis/S2/links/cluster/cf-pep95-2-Id-CLTL5.txt", 3)</f>
        <v>3</v>
      </c>
      <c r="CM5" s="7">
        <f>HYPERLINK("http://exon.niaid.nih.gov/transcriptome/C_felis/S2/links/cluster/cf-pep100-3-Id-CLU5.txt", 5)</f>
        <v>5</v>
      </c>
      <c r="CN5" s="2">
        <f>HYPERLINK("http://exon.niaid.nih.gov/transcriptome/C_felis/S2/links/cluster/cf-pep100-3-Id-CLTL5.txt", 3)</f>
        <v>3</v>
      </c>
      <c r="CO5" s="7">
        <f>HYPERLINK("http://exon.niaid.nih.gov/transcriptome/C_felis/S2/links/cluster/cf-pep100-4-Id-CLU5.txt", 5)</f>
        <v>5</v>
      </c>
      <c r="CP5" s="2">
        <f>HYPERLINK("http://exon.niaid.nih.gov/transcriptome/C_felis/S2/links/cluster/cf-pep100-4-Id-CLTL5.txt", 3)</f>
        <v>3</v>
      </c>
      <c r="CQ5" s="7">
        <f>HYPERLINK("http://exon.niaid.nih.gov/transcriptome/C_felis/S2/links/cluster/cf-pep25-50-Sim-CLU3.txt", 3)</f>
        <v>3</v>
      </c>
      <c r="CR5" s="2">
        <f>HYPERLINK("http://exon.niaid.nih.gov/transcriptome/C_felis/S2/links/cluster/cf-pep25-50-Sim-CLTL3.txt", 10)</f>
        <v>10</v>
      </c>
      <c r="CS5" s="7">
        <f>HYPERLINK("http://exon.niaid.nih.gov/transcriptome/C_felis/S2/links/cluster/cf-pep30-50-Sim-CLU4.txt", 4)</f>
        <v>4</v>
      </c>
      <c r="CT5" s="2">
        <f>HYPERLINK("http://exon.niaid.nih.gov/transcriptome/C_felis/S2/links/cluster/cf-pep30-50-Sim-CLTL4.txt", 6)</f>
        <v>6</v>
      </c>
      <c r="CU5" s="7">
        <f>HYPERLINK("http://exon.niaid.nih.gov/transcriptome/C_felis/S2/links/cluster/cf-pep35-50-Sim-CLU5.txt", 5)</f>
        <v>5</v>
      </c>
      <c r="CV5" s="2">
        <f>HYPERLINK("http://exon.niaid.nih.gov/transcriptome/C_felis/S2/links/cluster/cf-pep35-50-Sim-CLTL5.txt", 3)</f>
        <v>3</v>
      </c>
      <c r="CW5" s="7">
        <f>HYPERLINK("http://exon.niaid.nih.gov/transcriptome/C_felis/S2/links/cluster/cf-pep40-50-Sim-CLU5.txt", 5)</f>
        <v>5</v>
      </c>
      <c r="CX5" s="2">
        <f>HYPERLINK("http://exon.niaid.nih.gov/transcriptome/C_felis/S2/links/cluster/cf-pep40-50-Sim-CLTL5.txt", 3)</f>
        <v>3</v>
      </c>
      <c r="CY5" s="7">
        <f>HYPERLINK("http://exon.niaid.nih.gov/transcriptome/C_felis/S2/links/cluster/cf-pep45-50-Sim-CLU5.txt", 5)</f>
        <v>5</v>
      </c>
      <c r="CZ5" s="2">
        <f>HYPERLINK("http://exon.niaid.nih.gov/transcriptome/C_felis/S2/links/cluster/cf-pep45-50-Sim-CLTL5.txt", 3)</f>
        <v>3</v>
      </c>
      <c r="DA5" s="7">
        <f>HYPERLINK("http://exon.niaid.nih.gov/transcriptome/C_felis/S2/links/cluster/cf-pep50-50-Sim-CLU5.txt", 5)</f>
        <v>5</v>
      </c>
      <c r="DB5" s="2">
        <f>HYPERLINK("http://exon.niaid.nih.gov/transcriptome/C_felis/S2/links/cluster/cf-pep50-50-Sim-CLTL5.txt", 3)</f>
        <v>3</v>
      </c>
      <c r="DC5" s="7">
        <f>HYPERLINK("http://exon.niaid.nih.gov/transcriptome/C_felis/S2/links/cluster/cf-pep55-50-Sim-CLU5.txt", 5)</f>
        <v>5</v>
      </c>
      <c r="DD5" s="2">
        <f>HYPERLINK("http://exon.niaid.nih.gov/transcriptome/C_felis/S2/links/cluster/cf-pep55-50-Sim-CLTL5.txt", 3)</f>
        <v>3</v>
      </c>
      <c r="DE5" s="7">
        <f>HYPERLINK("http://exon.niaid.nih.gov/transcriptome/C_felis/S2/links/cluster/cf-pep60-50-Sim-CLU7.txt", 7)</f>
        <v>7</v>
      </c>
      <c r="DF5" s="2">
        <f>HYPERLINK("http://exon.niaid.nih.gov/transcriptome/C_felis/S2/links/cluster/cf-pep60-50-Sim-CLTL7.txt", 2)</f>
        <v>2</v>
      </c>
      <c r="DG5" s="7">
        <f>HYPERLINK("http://exon.niaid.nih.gov/transcriptome/C_felis/S2/links/cluster/cf-pep65-50-Sim-CLU6.txt", 6)</f>
        <v>6</v>
      </c>
      <c r="DH5" s="2">
        <f>HYPERLINK("http://exon.niaid.nih.gov/transcriptome/C_felis/S2/links/cluster/cf-pep65-50-Sim-CLTL6.txt", 2)</f>
        <v>2</v>
      </c>
      <c r="DI5" s="7">
        <v>16</v>
      </c>
      <c r="DJ5" s="2">
        <v>1</v>
      </c>
      <c r="DK5" s="7">
        <v>14</v>
      </c>
      <c r="DL5" s="2">
        <v>1</v>
      </c>
      <c r="DM5" s="7">
        <v>13</v>
      </c>
      <c r="DN5" s="2">
        <v>1</v>
      </c>
      <c r="DO5" s="7">
        <v>11</v>
      </c>
      <c r="DP5" s="2">
        <v>1</v>
      </c>
      <c r="DQ5" s="7">
        <v>10</v>
      </c>
      <c r="DR5" s="2">
        <v>1</v>
      </c>
      <c r="DS5" s="7">
        <v>7</v>
      </c>
      <c r="DT5" s="2">
        <v>1</v>
      </c>
    </row>
    <row r="6" spans="1:124" x14ac:dyDescent="0.2">
      <c r="A6" t="str">
        <f>HYPERLINK("http://exon.niaid.nih.gov/transcriptome/C_felis/S2/links/pep/Cf-781-pep.txt","Cf-781")</f>
        <v>Cf-781</v>
      </c>
      <c r="B6" s="2">
        <v>1</v>
      </c>
      <c r="C6">
        <v>182</v>
      </c>
      <c r="D6" t="str">
        <f>HYPERLINK("http://exon.niaid.nih.gov/transcriptome/C_felis/S2/links/cds/Cf-781-cds.txt","Cf-781")</f>
        <v>Cf-781</v>
      </c>
      <c r="E6">
        <v>549</v>
      </c>
      <c r="F6" t="s">
        <v>453</v>
      </c>
      <c r="G6">
        <v>0.54945060000000001</v>
      </c>
      <c r="I6" s="2" t="s">
        <v>5</v>
      </c>
      <c r="J6" s="2" t="s">
        <v>3</v>
      </c>
      <c r="K6" s="20" t="str">
        <f>HYPERLINK("http://exon.niaid.nih.gov/transcriptome/C_felis/S2/links/Sigp/Cf-781-SigP.txt","CYT")</f>
        <v>CYT</v>
      </c>
      <c r="L6" s="2" t="s">
        <v>7</v>
      </c>
      <c r="M6" s="2">
        <v>21.603000000000002</v>
      </c>
      <c r="N6" s="2">
        <v>9.09</v>
      </c>
      <c r="O6" s="2" t="s">
        <v>7</v>
      </c>
      <c r="P6" s="2" t="s">
        <v>7</v>
      </c>
      <c r="Q6" s="24" t="s">
        <v>547</v>
      </c>
      <c r="R6" s="20">
        <v>0</v>
      </c>
      <c r="S6" s="2" t="s">
        <v>7</v>
      </c>
      <c r="T6" s="2" t="s">
        <v>7</v>
      </c>
      <c r="U6" s="2" t="s">
        <v>7</v>
      </c>
      <c r="V6" s="2" t="s">
        <v>7</v>
      </c>
      <c r="W6" s="2" t="s">
        <v>7</v>
      </c>
      <c r="X6" s="20" t="str">
        <f>HYPERLINK("http://exon.niaid.nih.gov/transcriptome/C_felis/S2/links/netoglyc/CF-781-netoglyc.txt","0")</f>
        <v>0</v>
      </c>
      <c r="Y6" s="2">
        <v>12.6</v>
      </c>
      <c r="Z6" s="2">
        <v>3.8</v>
      </c>
      <c r="AA6" s="2">
        <v>2.7</v>
      </c>
      <c r="AB6" t="s">
        <v>451</v>
      </c>
      <c r="AC6" t="s">
        <v>452</v>
      </c>
      <c r="AD6" t="s">
        <v>453</v>
      </c>
      <c r="AE6" s="2">
        <v>1</v>
      </c>
      <c r="AF6" s="4" t="str">
        <f>HYPERLINK("http://exon.niaid.nih.gov/transcriptome/C_felis/S2/links/NR/Cf-781-NR.txt","putative truncated esterase")</f>
        <v>putative truncated esterase</v>
      </c>
      <c r="AG6" t="str">
        <f>HYPERLINK("http://www.ncbi.nlm.nih.gov/sutils/blink.cgi?pid=121511890","2E-039")</f>
        <v>2E-039</v>
      </c>
      <c r="AH6" t="str">
        <f>HYPERLINK("http://www.ncbi.nlm.nih.gov/protein/121511890","gi|121511890")</f>
        <v>gi|121511890</v>
      </c>
      <c r="AI6">
        <v>166</v>
      </c>
      <c r="AJ6">
        <v>140</v>
      </c>
      <c r="AK6">
        <v>227</v>
      </c>
      <c r="AL6">
        <v>53</v>
      </c>
      <c r="AM6">
        <v>62</v>
      </c>
      <c r="AN6" t="s">
        <v>63</v>
      </c>
      <c r="AO6" s="4" t="str">
        <f>HYPERLINK("http://exon.niaid.nih.gov/transcriptome/C_felis/S2/links/SWISSP/Cf-781-SWISSP.txt","Bile salt-activated lipase")</f>
        <v>Bile salt-activated lipase</v>
      </c>
      <c r="AP6" t="str">
        <f>HYPERLINK("http://www.uniprot.org/uniprot/P07882","2E-006")</f>
        <v>2E-006</v>
      </c>
      <c r="AQ6" t="s">
        <v>121</v>
      </c>
      <c r="AR6">
        <v>52.4</v>
      </c>
      <c r="AS6">
        <v>122</v>
      </c>
      <c r="AT6">
        <v>612</v>
      </c>
      <c r="AU6">
        <v>26</v>
      </c>
      <c r="AV6">
        <v>20</v>
      </c>
      <c r="AW6" t="s">
        <v>65</v>
      </c>
      <c r="AX6" s="4" t="s">
        <v>122</v>
      </c>
      <c r="AY6">
        <f>HYPERLINK("http://exon.niaid.nih.gov/transcriptome/C_felis/S2/links/GO/Cf-781-GO.txt",0.000000000003)</f>
        <v>3.0000000000000001E-12</v>
      </c>
      <c r="AZ6" t="str">
        <f>HYPERLINK("http://amigo.geneontology.org/cgi-bin/amigo/term_details?term=GO:0004091","GO:0004091")</f>
        <v>GO:0004091</v>
      </c>
      <c r="BA6" t="s">
        <v>123</v>
      </c>
      <c r="BB6" t="s">
        <v>124</v>
      </c>
      <c r="BC6" t="s">
        <v>125</v>
      </c>
      <c r="BD6" t="str">
        <f>HYPERLINK("http://www.genome.jp/dbget-bin/www_bfind_sub?mode=bfind&amp;max_hit=1000&amp;dbkey=kegg&amp;keywords=EC:3.1.1.1","EC:3.1.1.1")</f>
        <v>EC:3.1.1.1</v>
      </c>
      <c r="BE6" t="str">
        <f>HYPERLINK("http://www.genome.jp/dbget-bin/www_bget?rn:R00630","KEGG:R00630")</f>
        <v>KEGG:R00630</v>
      </c>
      <c r="BF6">
        <v>2.9999999999999999E-7</v>
      </c>
      <c r="BG6" t="s">
        <v>7</v>
      </c>
      <c r="BH6" t="s">
        <v>7</v>
      </c>
      <c r="BI6" t="s">
        <v>7</v>
      </c>
      <c r="BJ6" t="s">
        <v>7</v>
      </c>
      <c r="BL6" t="s">
        <v>7</v>
      </c>
      <c r="BM6" t="s">
        <v>7</v>
      </c>
      <c r="BN6" t="s">
        <v>7</v>
      </c>
      <c r="BO6" t="s">
        <v>7</v>
      </c>
      <c r="BP6" t="s">
        <v>7</v>
      </c>
      <c r="BQ6" t="s">
        <v>7</v>
      </c>
      <c r="BS6" t="s">
        <v>7</v>
      </c>
      <c r="BT6" t="s">
        <v>7</v>
      </c>
      <c r="BU6" s="4" t="str">
        <f>HYPERLINK("http://exon.niaid.nih.gov/transcriptome/C_felis/S2/links/KOG/Cf-781-KOG.txt","Carboxylesterase and related proteins")</f>
        <v>Carboxylesterase and related proteins</v>
      </c>
      <c r="BV6" t="str">
        <f>HYPERLINK("http://www.ncbi.nlm.nih.gov/COG/grace/shokog.cgi?KOG1516","2E-008")</f>
        <v>2E-008</v>
      </c>
      <c r="BW6" t="s">
        <v>71</v>
      </c>
      <c r="BX6" t="str">
        <f>HYPERLINK("http://exon.niaid.nih.gov/transcriptome/C_felis/S2/links/KOG/Cf-781-KOG.txt","KOG1516")</f>
        <v>KOG1516</v>
      </c>
      <c r="BY6" s="4" t="str">
        <f>HYPERLINK("http://exon.niaid.nih.gov/transcriptome/C_felis/S2/links/CDD/Cf-781-CDD.txt","COesterase")</f>
        <v>COesterase</v>
      </c>
      <c r="BZ6" t="str">
        <f>HYPERLINK("http://www.ncbi.nlm.nih.gov/Structure/cdd/cddsrv.cgi?uid=pfam00135&amp;version=v4.0","4E-012")</f>
        <v>4E-012</v>
      </c>
      <c r="CA6" t="s">
        <v>126</v>
      </c>
      <c r="CB6" s="4" t="str">
        <f>HYPERLINK("http://exon.niaid.nih.gov/transcriptome/C_felis/S2/links/PFAM/Cf-781-PFAM.txt","COesterase")</f>
        <v>COesterase</v>
      </c>
      <c r="CC6" t="str">
        <f>HYPERLINK("http://pfam.sanger.ac.uk/family?acc=PF00135","8E-013")</f>
        <v>8E-013</v>
      </c>
      <c r="CD6" s="4" t="str">
        <f>HYPERLINK("http://exon.niaid.nih.gov/transcriptome/C_felis/S2/links/SMART/Cf-781-SMART.txt","DALR_1")</f>
        <v>DALR_1</v>
      </c>
      <c r="CE6" t="str">
        <f>HYPERLINK("http://smart.embl-heidelberg.de/smart/do_annotation.pl?DOMAIN=DALR_1&amp;BLAST=DUMMY","0.75")</f>
        <v>0.75</v>
      </c>
      <c r="CF6" s="4" t="s">
        <v>7</v>
      </c>
      <c r="CG6" t="s">
        <v>7</v>
      </c>
      <c r="CH6" t="s">
        <v>7</v>
      </c>
      <c r="CI6" t="s">
        <v>7</v>
      </c>
      <c r="CJ6" t="s">
        <v>7</v>
      </c>
      <c r="CK6" s="7">
        <f>HYPERLINK("http://exon.niaid.nih.gov/transcriptome/C_felis/S2/links/cluster/cf-pep95-2-Id-CLU5.txt", 5)</f>
        <v>5</v>
      </c>
      <c r="CL6" s="2">
        <f>HYPERLINK("http://exon.niaid.nih.gov/transcriptome/C_felis/S2/links/cluster/cf-pep95-2-Id-CLTL5.txt", 3)</f>
        <v>3</v>
      </c>
      <c r="CM6" s="7">
        <f>HYPERLINK("http://exon.niaid.nih.gov/transcriptome/C_felis/S2/links/cluster/cf-pep100-3-Id-CLU5.txt", 5)</f>
        <v>5</v>
      </c>
      <c r="CN6" s="2">
        <f>HYPERLINK("http://exon.niaid.nih.gov/transcriptome/C_felis/S2/links/cluster/cf-pep100-3-Id-CLTL5.txt", 3)</f>
        <v>3</v>
      </c>
      <c r="CO6" s="7">
        <f>HYPERLINK("http://exon.niaid.nih.gov/transcriptome/C_felis/S2/links/cluster/cf-pep100-4-Id-CLU5.txt", 5)</f>
        <v>5</v>
      </c>
      <c r="CP6" s="2">
        <f>HYPERLINK("http://exon.niaid.nih.gov/transcriptome/C_felis/S2/links/cluster/cf-pep100-4-Id-CLTL5.txt", 3)</f>
        <v>3</v>
      </c>
      <c r="CQ6" s="7">
        <f>HYPERLINK("http://exon.niaid.nih.gov/transcriptome/C_felis/S2/links/cluster/cf-pep25-50-Sim-CLU3.txt", 3)</f>
        <v>3</v>
      </c>
      <c r="CR6" s="2">
        <f>HYPERLINK("http://exon.niaid.nih.gov/transcriptome/C_felis/S2/links/cluster/cf-pep25-50-Sim-CLTL3.txt", 10)</f>
        <v>10</v>
      </c>
      <c r="CS6" s="7">
        <f>HYPERLINK("http://exon.niaid.nih.gov/transcriptome/C_felis/S2/links/cluster/cf-pep30-50-Sim-CLU4.txt", 4)</f>
        <v>4</v>
      </c>
      <c r="CT6" s="2">
        <f>HYPERLINK("http://exon.niaid.nih.gov/transcriptome/C_felis/S2/links/cluster/cf-pep30-50-Sim-CLTL4.txt", 6)</f>
        <v>6</v>
      </c>
      <c r="CU6" s="7">
        <f>HYPERLINK("http://exon.niaid.nih.gov/transcriptome/C_felis/S2/links/cluster/cf-pep35-50-Sim-CLU5.txt", 5)</f>
        <v>5</v>
      </c>
      <c r="CV6" s="2">
        <f>HYPERLINK("http://exon.niaid.nih.gov/transcriptome/C_felis/S2/links/cluster/cf-pep35-50-Sim-CLTL5.txt", 3)</f>
        <v>3</v>
      </c>
      <c r="CW6" s="7">
        <f>HYPERLINK("http://exon.niaid.nih.gov/transcriptome/C_felis/S2/links/cluster/cf-pep40-50-Sim-CLU5.txt", 5)</f>
        <v>5</v>
      </c>
      <c r="CX6" s="2">
        <f>HYPERLINK("http://exon.niaid.nih.gov/transcriptome/C_felis/S2/links/cluster/cf-pep40-50-Sim-CLTL5.txt", 3)</f>
        <v>3</v>
      </c>
      <c r="CY6" s="7">
        <f>HYPERLINK("http://exon.niaid.nih.gov/transcriptome/C_felis/S2/links/cluster/cf-pep45-50-Sim-CLU5.txt", 5)</f>
        <v>5</v>
      </c>
      <c r="CZ6" s="2">
        <f>HYPERLINK("http://exon.niaid.nih.gov/transcriptome/C_felis/S2/links/cluster/cf-pep45-50-Sim-CLTL5.txt", 3)</f>
        <v>3</v>
      </c>
      <c r="DA6" s="7">
        <f>HYPERLINK("http://exon.niaid.nih.gov/transcriptome/C_felis/S2/links/cluster/cf-pep50-50-Sim-CLU5.txt", 5)</f>
        <v>5</v>
      </c>
      <c r="DB6" s="2">
        <f>HYPERLINK("http://exon.niaid.nih.gov/transcriptome/C_felis/S2/links/cluster/cf-pep50-50-Sim-CLTL5.txt", 3)</f>
        <v>3</v>
      </c>
      <c r="DC6" s="7">
        <f>HYPERLINK("http://exon.niaid.nih.gov/transcriptome/C_felis/S2/links/cluster/cf-pep55-50-Sim-CLU5.txt", 5)</f>
        <v>5</v>
      </c>
      <c r="DD6" s="2">
        <f>HYPERLINK("http://exon.niaid.nih.gov/transcriptome/C_felis/S2/links/cluster/cf-pep55-50-Sim-CLTL5.txt", 3)</f>
        <v>3</v>
      </c>
      <c r="DE6" s="7">
        <f>HYPERLINK("http://exon.niaid.nih.gov/transcriptome/C_felis/S2/links/cluster/cf-pep60-50-Sim-CLU7.txt", 7)</f>
        <v>7</v>
      </c>
      <c r="DF6" s="2">
        <f>HYPERLINK("http://exon.niaid.nih.gov/transcriptome/C_felis/S2/links/cluster/cf-pep60-50-Sim-CLTL7.txt", 2)</f>
        <v>2</v>
      </c>
      <c r="DG6" s="7">
        <f>HYPERLINK("http://exon.niaid.nih.gov/transcriptome/C_felis/S2/links/cluster/cf-pep65-50-Sim-CLU6.txt", 6)</f>
        <v>6</v>
      </c>
      <c r="DH6" s="2">
        <f>HYPERLINK("http://exon.niaid.nih.gov/transcriptome/C_felis/S2/links/cluster/cf-pep65-50-Sim-CLTL6.txt", 2)</f>
        <v>2</v>
      </c>
      <c r="DI6" s="7">
        <v>178</v>
      </c>
      <c r="DJ6" s="2">
        <v>1</v>
      </c>
      <c r="DK6" s="7">
        <v>180</v>
      </c>
      <c r="DL6" s="2">
        <v>1</v>
      </c>
      <c r="DM6" s="7">
        <v>182</v>
      </c>
      <c r="DN6" s="2">
        <v>1</v>
      </c>
      <c r="DO6" s="7">
        <v>187</v>
      </c>
      <c r="DP6" s="2">
        <v>1</v>
      </c>
      <c r="DQ6" s="7">
        <v>189</v>
      </c>
      <c r="DR6" s="2">
        <v>1</v>
      </c>
      <c r="DS6" s="7">
        <v>194</v>
      </c>
      <c r="DT6" s="2">
        <v>1</v>
      </c>
    </row>
    <row r="7" spans="1:124" x14ac:dyDescent="0.2">
      <c r="A7" t="str">
        <f>HYPERLINK("http://exon.niaid.nih.gov/transcriptome/C_felis/S2/links/pep/Cf-56-pep.txt","Cf-56")</f>
        <v>Cf-56</v>
      </c>
      <c r="B7" s="2">
        <v>7</v>
      </c>
      <c r="C7">
        <v>184</v>
      </c>
      <c r="D7" t="str">
        <f>HYPERLINK("http://exon.niaid.nih.gov/transcriptome/C_felis/S2/links/cds/Cf-56-cds.txt","Cf-56")</f>
        <v>Cf-56</v>
      </c>
      <c r="E7">
        <v>555</v>
      </c>
      <c r="F7" t="s">
        <v>453</v>
      </c>
      <c r="G7">
        <v>0</v>
      </c>
      <c r="I7" s="2" t="s">
        <v>5</v>
      </c>
      <c r="J7" s="2" t="s">
        <v>3</v>
      </c>
      <c r="K7" s="20" t="str">
        <f>HYPERLINK("http://exon.niaid.nih.gov/transcriptome/C_felis/S2/links/Sigp/Cf-56-SigP.txt","CYT")</f>
        <v>CYT</v>
      </c>
      <c r="L7" s="2" t="s">
        <v>7</v>
      </c>
      <c r="M7" s="2">
        <v>22.216999999999999</v>
      </c>
      <c r="N7" s="2">
        <v>9.2200000000000006</v>
      </c>
      <c r="O7" s="2" t="s">
        <v>7</v>
      </c>
      <c r="P7" s="2" t="s">
        <v>7</v>
      </c>
      <c r="Q7" s="24" t="s">
        <v>548</v>
      </c>
      <c r="R7" s="20">
        <v>0</v>
      </c>
      <c r="S7" s="2" t="s">
        <v>7</v>
      </c>
      <c r="T7" s="2" t="s">
        <v>7</v>
      </c>
      <c r="U7" s="2" t="s">
        <v>7</v>
      </c>
      <c r="V7" s="2" t="s">
        <v>7</v>
      </c>
      <c r="W7" s="2" t="s">
        <v>7</v>
      </c>
      <c r="X7" s="20" t="str">
        <f>HYPERLINK("http://exon.niaid.nih.gov/transcriptome/C_felis/S2/links/netoglyc/CF-56-netoglyc.txt","0")</f>
        <v>0</v>
      </c>
      <c r="Y7" s="2">
        <v>12.5</v>
      </c>
      <c r="Z7" s="2">
        <v>4.9000000000000004</v>
      </c>
      <c r="AA7" s="2">
        <v>4.3</v>
      </c>
      <c r="AB7" t="s">
        <v>451</v>
      </c>
      <c r="AC7" t="s">
        <v>452</v>
      </c>
      <c r="AD7" t="s">
        <v>453</v>
      </c>
      <c r="AE7" s="2">
        <v>7</v>
      </c>
      <c r="AF7" s="4" t="str">
        <f>HYPERLINK("http://exon.niaid.nih.gov/transcriptome/C_felis/S2/links/NR/Cf-56-NR.txt","putative truncated esterase")</f>
        <v>putative truncated esterase</v>
      </c>
      <c r="AG7" t="str">
        <f>HYPERLINK("http://www.ncbi.nlm.nih.gov/sutils/blink.cgi?pid=121511890","1E-018")</f>
        <v>1E-018</v>
      </c>
      <c r="AH7" t="str">
        <f>HYPERLINK("http://www.ncbi.nlm.nih.gov/protein/121511890","gi|121511890")</f>
        <v>gi|121511890</v>
      </c>
      <c r="AI7">
        <v>96.7</v>
      </c>
      <c r="AJ7">
        <v>123</v>
      </c>
      <c r="AK7">
        <v>227</v>
      </c>
      <c r="AL7">
        <v>37</v>
      </c>
      <c r="AM7">
        <v>55</v>
      </c>
      <c r="AN7" t="s">
        <v>63</v>
      </c>
      <c r="AO7" s="4" t="str">
        <f>HYPERLINK("http://exon.niaid.nih.gov/transcriptome/C_felis/S2/links/SWISSP/Cf-56-SWISSP.txt","Neuroligin-2")</f>
        <v>Neuroligin-2</v>
      </c>
      <c r="AP7" t="str">
        <f>HYPERLINK("http://www.uniprot.org/uniprot/Q62888","5E-005")</f>
        <v>5E-005</v>
      </c>
      <c r="AQ7" t="s">
        <v>363</v>
      </c>
      <c r="AR7">
        <v>47.4</v>
      </c>
      <c r="AS7">
        <v>134</v>
      </c>
      <c r="AT7">
        <v>836</v>
      </c>
      <c r="AU7">
        <v>25</v>
      </c>
      <c r="AV7">
        <v>16</v>
      </c>
      <c r="AW7" t="s">
        <v>65</v>
      </c>
      <c r="AX7" s="4" t="s">
        <v>122</v>
      </c>
      <c r="AY7">
        <f>HYPERLINK("http://exon.niaid.nih.gov/transcriptome/C_felis/S2/links/GO/Cf-56-GO.txt",0.00000007)</f>
        <v>7.0000000000000005E-8</v>
      </c>
      <c r="AZ7" t="str">
        <f>HYPERLINK("http://amigo.geneontology.org/cgi-bin/amigo/term_details?term=GO:0004104","GO:0004104")</f>
        <v>GO:0004104</v>
      </c>
      <c r="BA7" t="s">
        <v>364</v>
      </c>
      <c r="BB7" t="s">
        <v>365</v>
      </c>
      <c r="BC7" t="s">
        <v>366</v>
      </c>
      <c r="BD7" t="str">
        <f>HYPERLINK("http://www.genome.jp/dbget-bin/www_bfind_sub?mode=bfind&amp;max_hit=1000&amp;dbkey=kegg&amp;keywords=EC:3.1.1.8","EC:3.1.1.8")</f>
        <v>EC:3.1.1.8</v>
      </c>
      <c r="BF7">
        <v>3.9999999999999998E-6</v>
      </c>
      <c r="BG7" t="str">
        <f>HYPERLINK("http://amigo.geneontology.org/cgi-bin/amigo/term_details?term=GO:0005829","GO:0005829")</f>
        <v>GO:0005829</v>
      </c>
      <c r="BH7" t="s">
        <v>367</v>
      </c>
      <c r="BI7" t="s">
        <v>368</v>
      </c>
      <c r="BJ7" t="s">
        <v>7</v>
      </c>
      <c r="BK7" t="s">
        <v>7</v>
      </c>
      <c r="BM7">
        <v>3.9999999999999998E-6</v>
      </c>
      <c r="BN7" t="str">
        <f>HYPERLINK("http://amigo.geneontology.org/cgi-bin/amigo/term_details?term=GO:0008152","GO:0008152")</f>
        <v>GO:0008152</v>
      </c>
      <c r="BO7" t="s">
        <v>369</v>
      </c>
      <c r="BP7" t="s">
        <v>370</v>
      </c>
      <c r="BQ7" t="s">
        <v>371</v>
      </c>
      <c r="BR7" t="s">
        <v>7</v>
      </c>
      <c r="BT7">
        <v>3.9999999999999998E-6</v>
      </c>
      <c r="BU7" s="4" t="str">
        <f>HYPERLINK("http://exon.niaid.nih.gov/transcriptome/C_felis/S2/links/KOG/Cf-56-KOG.txt","Carboxylesterase and related proteins")</f>
        <v>Carboxylesterase and related proteins</v>
      </c>
      <c r="BV7" t="str">
        <f>HYPERLINK("http://www.ncbi.nlm.nih.gov/COG/grace/shokog.cgi?KOG1516","1E-007")</f>
        <v>1E-007</v>
      </c>
      <c r="BW7" t="s">
        <v>71</v>
      </c>
      <c r="BX7" t="str">
        <f>HYPERLINK("http://exon.niaid.nih.gov/transcriptome/C_felis/S2/links/KOG/Cf-56-KOG.txt","KOG1516")</f>
        <v>KOG1516</v>
      </c>
      <c r="BY7" s="4" t="str">
        <f>HYPERLINK("http://exon.niaid.nih.gov/transcriptome/C_felis/S2/links/CDD/Cf-56-CDD.txt","COesterase")</f>
        <v>COesterase</v>
      </c>
      <c r="BZ7" t="str">
        <f>HYPERLINK("http://www.ncbi.nlm.nih.gov/Structure/cdd/cddsrv.cgi?uid=pfam00135&amp;version=v4.0","2E-012")</f>
        <v>2E-012</v>
      </c>
      <c r="CA7" t="s">
        <v>372</v>
      </c>
      <c r="CB7" s="4" t="str">
        <f>HYPERLINK("http://exon.niaid.nih.gov/transcriptome/C_felis/S2/links/PFAM/Cf-56-PFAM.txt","COesterase")</f>
        <v>COesterase</v>
      </c>
      <c r="CC7" t="str">
        <f>HYPERLINK("http://pfam.sanger.ac.uk/family?acc=PF00135","5E-013")</f>
        <v>5E-013</v>
      </c>
      <c r="CD7" s="4" t="str">
        <f>HYPERLINK("http://exon.niaid.nih.gov/transcriptome/C_felis/S2/links/SMART/Cf-56-SMART.txt","POLBc")</f>
        <v>POLBc</v>
      </c>
      <c r="CE7" t="str">
        <f>HYPERLINK("http://smart.embl-heidelberg.de/smart/do_annotation.pl?DOMAIN=POLBc&amp;BLAST=DUMMY","0.67")</f>
        <v>0.67</v>
      </c>
      <c r="CF7" s="4" t="s">
        <v>7</v>
      </c>
      <c r="CG7" t="s">
        <v>7</v>
      </c>
      <c r="CH7" t="s">
        <v>7</v>
      </c>
      <c r="CI7" t="s">
        <v>7</v>
      </c>
      <c r="CJ7" t="s">
        <v>7</v>
      </c>
      <c r="CK7" s="7">
        <f>HYPERLINK("http://exon.niaid.nih.gov/transcriptome/C_felis/S2/links/cluster/cf-pep95-2-Id-CLU5.txt", 5)</f>
        <v>5</v>
      </c>
      <c r="CL7" s="2">
        <f>HYPERLINK("http://exon.niaid.nih.gov/transcriptome/C_felis/S2/links/cluster/cf-pep95-2-Id-CLTL5.txt", 3)</f>
        <v>3</v>
      </c>
      <c r="CM7" s="7">
        <f>HYPERLINK("http://exon.niaid.nih.gov/transcriptome/C_felis/S2/links/cluster/cf-pep100-3-Id-CLU5.txt", 5)</f>
        <v>5</v>
      </c>
      <c r="CN7" s="2">
        <f>HYPERLINK("http://exon.niaid.nih.gov/transcriptome/C_felis/S2/links/cluster/cf-pep100-3-Id-CLTL5.txt", 3)</f>
        <v>3</v>
      </c>
      <c r="CO7" s="7">
        <f>HYPERLINK("http://exon.niaid.nih.gov/transcriptome/C_felis/S2/links/cluster/cf-pep100-4-Id-CLU5.txt", 5)</f>
        <v>5</v>
      </c>
      <c r="CP7" s="2">
        <f>HYPERLINK("http://exon.niaid.nih.gov/transcriptome/C_felis/S2/links/cluster/cf-pep100-4-Id-CLTL5.txt", 3)</f>
        <v>3</v>
      </c>
      <c r="CQ7" s="7">
        <f>HYPERLINK("http://exon.niaid.nih.gov/transcriptome/C_felis/S2/links/cluster/cf-pep25-50-Sim-CLU3.txt", 3)</f>
        <v>3</v>
      </c>
      <c r="CR7" s="2">
        <f>HYPERLINK("http://exon.niaid.nih.gov/transcriptome/C_felis/S2/links/cluster/cf-pep25-50-Sim-CLTL3.txt", 10)</f>
        <v>10</v>
      </c>
      <c r="CS7" s="7">
        <f>HYPERLINK("http://exon.niaid.nih.gov/transcriptome/C_felis/S2/links/cluster/cf-pep30-50-Sim-CLU4.txt", 4)</f>
        <v>4</v>
      </c>
      <c r="CT7" s="2">
        <f>HYPERLINK("http://exon.niaid.nih.gov/transcriptome/C_felis/S2/links/cluster/cf-pep30-50-Sim-CLTL4.txt", 6)</f>
        <v>6</v>
      </c>
      <c r="CU7" s="7">
        <f>HYPERLINK("http://exon.niaid.nih.gov/transcriptome/C_felis/S2/links/cluster/cf-pep35-50-Sim-CLU5.txt", 5)</f>
        <v>5</v>
      </c>
      <c r="CV7" s="2">
        <f>HYPERLINK("http://exon.niaid.nih.gov/transcriptome/C_felis/S2/links/cluster/cf-pep35-50-Sim-CLTL5.txt", 3)</f>
        <v>3</v>
      </c>
      <c r="CW7" s="7">
        <f>HYPERLINK("http://exon.niaid.nih.gov/transcriptome/C_felis/S2/links/cluster/cf-pep40-50-Sim-CLU5.txt", 5)</f>
        <v>5</v>
      </c>
      <c r="CX7" s="2">
        <f>HYPERLINK("http://exon.niaid.nih.gov/transcriptome/C_felis/S2/links/cluster/cf-pep40-50-Sim-CLTL5.txt", 3)</f>
        <v>3</v>
      </c>
      <c r="CY7" s="7">
        <f>HYPERLINK("http://exon.niaid.nih.gov/transcriptome/C_felis/S2/links/cluster/cf-pep45-50-Sim-CLU5.txt", 5)</f>
        <v>5</v>
      </c>
      <c r="CZ7" s="2">
        <f>HYPERLINK("http://exon.niaid.nih.gov/transcriptome/C_felis/S2/links/cluster/cf-pep45-50-Sim-CLTL5.txt", 3)</f>
        <v>3</v>
      </c>
      <c r="DA7" s="7">
        <f>HYPERLINK("http://exon.niaid.nih.gov/transcriptome/C_felis/S2/links/cluster/cf-pep50-50-Sim-CLU5.txt", 5)</f>
        <v>5</v>
      </c>
      <c r="DB7" s="2">
        <f>HYPERLINK("http://exon.niaid.nih.gov/transcriptome/C_felis/S2/links/cluster/cf-pep50-50-Sim-CLTL5.txt", 3)</f>
        <v>3</v>
      </c>
      <c r="DC7" s="7">
        <f>HYPERLINK("http://exon.niaid.nih.gov/transcriptome/C_felis/S2/links/cluster/cf-pep55-50-Sim-CLU5.txt", 5)</f>
        <v>5</v>
      </c>
      <c r="DD7" s="2">
        <f>HYPERLINK("http://exon.niaid.nih.gov/transcriptome/C_felis/S2/links/cluster/cf-pep55-50-Sim-CLTL5.txt", 3)</f>
        <v>3</v>
      </c>
      <c r="DE7" s="7">
        <v>130</v>
      </c>
      <c r="DF7" s="2">
        <v>1</v>
      </c>
      <c r="DG7" s="7">
        <v>133</v>
      </c>
      <c r="DH7" s="2">
        <v>1</v>
      </c>
      <c r="DI7" s="7">
        <v>134</v>
      </c>
      <c r="DJ7" s="2">
        <v>1</v>
      </c>
      <c r="DK7" s="7">
        <v>136</v>
      </c>
      <c r="DL7" s="2">
        <v>1</v>
      </c>
      <c r="DM7" s="7">
        <v>138</v>
      </c>
      <c r="DN7" s="2">
        <v>1</v>
      </c>
      <c r="DO7" s="7">
        <v>141</v>
      </c>
      <c r="DP7" s="2">
        <v>1</v>
      </c>
      <c r="DQ7" s="7">
        <v>143</v>
      </c>
      <c r="DR7" s="2">
        <v>1</v>
      </c>
      <c r="DS7" s="7">
        <v>145</v>
      </c>
      <c r="DT7" s="2">
        <v>1</v>
      </c>
    </row>
    <row r="8" spans="1:124" s="3" customFormat="1" x14ac:dyDescent="0.2">
      <c r="A8" s="14" t="s">
        <v>526</v>
      </c>
      <c r="K8" s="1" t="s">
        <v>7</v>
      </c>
      <c r="L8" s="3" t="s">
        <v>7</v>
      </c>
      <c r="M8" s="3" t="s">
        <v>7</v>
      </c>
      <c r="N8" s="3" t="s">
        <v>7</v>
      </c>
      <c r="O8" s="3" t="s">
        <v>7</v>
      </c>
      <c r="P8" s="3" t="s">
        <v>7</v>
      </c>
      <c r="Q8" s="23" t="s">
        <v>7</v>
      </c>
      <c r="R8" s="1" t="s">
        <v>7</v>
      </c>
      <c r="S8" s="3" t="s">
        <v>7</v>
      </c>
      <c r="T8" s="3" t="s">
        <v>7</v>
      </c>
      <c r="U8" s="3" t="s">
        <v>7</v>
      </c>
      <c r="V8" s="3" t="s">
        <v>7</v>
      </c>
      <c r="W8" s="3" t="s">
        <v>7</v>
      </c>
      <c r="X8" s="1" t="s">
        <v>7</v>
      </c>
      <c r="Y8" s="3" t="s">
        <v>7</v>
      </c>
      <c r="Z8" s="3" t="s">
        <v>7</v>
      </c>
      <c r="AA8" s="3" t="s">
        <v>7</v>
      </c>
      <c r="AF8" s="1"/>
      <c r="AO8" s="1"/>
      <c r="AX8" s="1"/>
      <c r="BU8" s="1"/>
      <c r="BY8" s="1"/>
      <c r="CB8" s="1"/>
      <c r="CD8" s="1"/>
      <c r="CF8" s="1"/>
      <c r="CK8" s="6"/>
      <c r="CM8" s="6"/>
      <c r="CO8" s="6"/>
      <c r="CQ8" s="6"/>
      <c r="CS8" s="6"/>
      <c r="CU8" s="6"/>
      <c r="CW8" s="6"/>
      <c r="CY8" s="6"/>
      <c r="DA8" s="6"/>
      <c r="DC8" s="6"/>
      <c r="DE8" s="6"/>
      <c r="DG8" s="6"/>
      <c r="DI8" s="6"/>
      <c r="DK8" s="6"/>
      <c r="DM8" s="6"/>
      <c r="DO8" s="6"/>
      <c r="DQ8" s="6"/>
      <c r="DS8" s="6"/>
    </row>
    <row r="9" spans="1:124" x14ac:dyDescent="0.2">
      <c r="A9" t="str">
        <f>HYPERLINK("http://exon.niaid.nih.gov/transcriptome/C_felis/S2/links/pep/Cf-50-pep.txt","Cf-50")</f>
        <v>Cf-50</v>
      </c>
      <c r="B9" s="2">
        <v>20</v>
      </c>
      <c r="C9">
        <v>151</v>
      </c>
      <c r="D9" t="str">
        <f>HYPERLINK("http://exon.niaid.nih.gov/transcriptome/C_felis/S2/links/cds/Cf-50-cds.txt","Cf-50")</f>
        <v>Cf-50</v>
      </c>
      <c r="E9">
        <v>456</v>
      </c>
      <c r="F9" t="s">
        <v>505</v>
      </c>
      <c r="G9">
        <v>0</v>
      </c>
      <c r="I9" s="2" t="s">
        <v>9</v>
      </c>
      <c r="J9" s="2" t="s">
        <v>3</v>
      </c>
      <c r="K9" s="20" t="str">
        <f>HYPERLINK("http://exon.niaid.nih.gov/transcriptome/C_felis/S2/links/Sigp/Cf-50-SigP.txt","CYT")</f>
        <v>CYT</v>
      </c>
      <c r="L9" s="2" t="s">
        <v>7</v>
      </c>
      <c r="M9" s="2">
        <v>17.289000000000001</v>
      </c>
      <c r="N9" s="2">
        <v>6.07</v>
      </c>
      <c r="O9" s="2" t="s">
        <v>7</v>
      </c>
      <c r="P9" s="2" t="s">
        <v>7</v>
      </c>
      <c r="Q9" s="24" t="s">
        <v>549</v>
      </c>
      <c r="R9" s="20">
        <v>0</v>
      </c>
      <c r="S9" s="2" t="s">
        <v>7</v>
      </c>
      <c r="T9" s="2" t="s">
        <v>7</v>
      </c>
      <c r="U9" s="2" t="s">
        <v>7</v>
      </c>
      <c r="V9" s="2" t="s">
        <v>7</v>
      </c>
      <c r="W9" s="2" t="s">
        <v>7</v>
      </c>
      <c r="X9" s="20" t="str">
        <f>HYPERLINK("http://exon.niaid.nih.gov/transcriptome/C_felis/S2/links/netoglyc/CF-50-netoglyc.txt","0")</f>
        <v>0</v>
      </c>
      <c r="Y9" s="2">
        <v>13.9</v>
      </c>
      <c r="Z9" s="2">
        <v>6</v>
      </c>
      <c r="AA9" s="2">
        <v>5.3</v>
      </c>
      <c r="AB9" t="s">
        <v>451</v>
      </c>
      <c r="AC9" t="s">
        <v>500</v>
      </c>
      <c r="AD9" t="s">
        <v>505</v>
      </c>
      <c r="AE9" s="2">
        <v>20</v>
      </c>
      <c r="AF9" s="4" t="str">
        <f>HYPERLINK("http://exon.niaid.nih.gov/transcriptome/C_felis/S2/links/NR/Cf-50-NR.txt","truncated salivary phosphatase")</f>
        <v>truncated salivary phosphatase</v>
      </c>
      <c r="AG9" t="str">
        <f>HYPERLINK("http://www.ncbi.nlm.nih.gov/sutils/blink.cgi?pid=121511984","5E-072")</f>
        <v>5E-072</v>
      </c>
      <c r="AH9" t="str">
        <f>HYPERLINK("http://www.ncbi.nlm.nih.gov/protein/121511984","gi|121511984")</f>
        <v>gi|121511984</v>
      </c>
      <c r="AI9">
        <v>273</v>
      </c>
      <c r="AJ9">
        <v>150</v>
      </c>
      <c r="AK9">
        <v>153</v>
      </c>
      <c r="AL9">
        <v>84</v>
      </c>
      <c r="AM9">
        <v>99</v>
      </c>
      <c r="AN9" t="s">
        <v>63</v>
      </c>
      <c r="AO9" s="4" t="str">
        <f>HYPERLINK("http://exon.niaid.nih.gov/transcriptome/C_felis/S2/links/SWISSP/Cf-50-SWISSP.txt","Testicular acid phosphatase homolog")</f>
        <v>Testicular acid phosphatase homolog</v>
      </c>
      <c r="AP9" t="str">
        <f>HYPERLINK("http://www.uniprot.org/uniprot/Q3KQG9","0.13")</f>
        <v>0.13</v>
      </c>
      <c r="AQ9" t="s">
        <v>340</v>
      </c>
      <c r="AR9">
        <v>35.4</v>
      </c>
      <c r="AS9">
        <v>116</v>
      </c>
      <c r="AT9">
        <v>420</v>
      </c>
      <c r="AU9">
        <v>26</v>
      </c>
      <c r="AV9">
        <v>28</v>
      </c>
      <c r="AW9" t="s">
        <v>88</v>
      </c>
      <c r="AX9" s="4" t="s">
        <v>7</v>
      </c>
      <c r="AY9" t="s">
        <v>7</v>
      </c>
      <c r="AZ9" t="s">
        <v>7</v>
      </c>
      <c r="BA9" t="s">
        <v>7</v>
      </c>
      <c r="BB9" t="s">
        <v>7</v>
      </c>
      <c r="BC9" t="s">
        <v>7</v>
      </c>
      <c r="BD9" t="s">
        <v>7</v>
      </c>
      <c r="BE9" t="s">
        <v>7</v>
      </c>
      <c r="BF9" t="s">
        <v>7</v>
      </c>
      <c r="BG9" t="s">
        <v>7</v>
      </c>
      <c r="BH9" t="s">
        <v>7</v>
      </c>
      <c r="BI9" t="s">
        <v>7</v>
      </c>
      <c r="BJ9" t="s">
        <v>7</v>
      </c>
      <c r="BK9" t="s">
        <v>7</v>
      </c>
      <c r="BL9" t="s">
        <v>7</v>
      </c>
      <c r="BM9" t="s">
        <v>7</v>
      </c>
      <c r="BN9" t="s">
        <v>7</v>
      </c>
      <c r="BO9" t="s">
        <v>7</v>
      </c>
      <c r="BP9" t="s">
        <v>7</v>
      </c>
      <c r="BQ9" t="s">
        <v>7</v>
      </c>
      <c r="BR9" t="s">
        <v>7</v>
      </c>
      <c r="BS9" t="s">
        <v>7</v>
      </c>
      <c r="BT9" t="s">
        <v>7</v>
      </c>
      <c r="BU9" s="4" t="str">
        <f>HYPERLINK("http://exon.niaid.nih.gov/transcriptome/C_felis/S2/links/KOG/Cf-50-KOG.txt","Lysosomal &amp; prostatic acid phosphatases")</f>
        <v>Lysosomal &amp; prostatic acid phosphatases</v>
      </c>
      <c r="BV9" t="str">
        <f>HYPERLINK("http://www.ncbi.nlm.nih.gov/COG/grace/shokog.cgi?KOG3720","4E-004")</f>
        <v>4E-004</v>
      </c>
      <c r="BW9" t="s">
        <v>133</v>
      </c>
      <c r="BX9" t="str">
        <f>HYPERLINK("http://exon.niaid.nih.gov/transcriptome/C_felis/S2/links/KOG/Cf-50-KOG.txt","KOG3720")</f>
        <v>KOG3720</v>
      </c>
      <c r="BY9" s="4" t="str">
        <f>HYPERLINK("http://exon.niaid.nih.gov/transcriptome/C_felis/S2/links/CDD/Cf-50-CDD.txt","PRK11107")</f>
        <v>PRK11107</v>
      </c>
      <c r="BZ9" t="str">
        <f>HYPERLINK("http://www.ncbi.nlm.nih.gov/Structure/cdd/cddsrv.cgi?uid=PRK11107&amp;version=v4.0","1.1")</f>
        <v>1.1</v>
      </c>
      <c r="CA9" t="s">
        <v>341</v>
      </c>
      <c r="CB9" s="4" t="str">
        <f>HYPERLINK("http://exon.niaid.nih.gov/transcriptome/C_felis/S2/links/PFAM/Cf-50-PFAM.txt","ETF")</f>
        <v>ETF</v>
      </c>
      <c r="CC9" t="str">
        <f>HYPERLINK("http://pfam.sanger.ac.uk/family?acc=PF01012","0.55")</f>
        <v>0.55</v>
      </c>
      <c r="CD9" s="4" t="str">
        <f>HYPERLINK("http://exon.niaid.nih.gov/transcriptome/C_felis/S2/links/SMART/Cf-50-SMART.txt","calpain_III")</f>
        <v>calpain_III</v>
      </c>
      <c r="CE9" t="str">
        <f>HYPERLINK("http://smart.embl-heidelberg.de/smart/do_annotation.pl?DOMAIN=calpain_III&amp;BLAST=DUMMY","0.42")</f>
        <v>0.42</v>
      </c>
      <c r="CF9" s="4" t="s">
        <v>7</v>
      </c>
      <c r="CG9" t="s">
        <v>7</v>
      </c>
      <c r="CH9" t="s">
        <v>7</v>
      </c>
      <c r="CI9" t="s">
        <v>7</v>
      </c>
      <c r="CJ9" t="s">
        <v>7</v>
      </c>
      <c r="CK9" s="7">
        <f t="shared" ref="CK9:CK14" si="0">HYPERLINK("http://exon.niaid.nih.gov/transcriptome/C_felis/S2/links/cluster/cf-pep95-2-Id-CLU2.txt", 2)</f>
        <v>2</v>
      </c>
      <c r="CL9" s="2">
        <f t="shared" ref="CL9:CL14" si="1">HYPERLINK("http://exon.niaid.nih.gov/transcriptome/C_felis/S2/links/cluster/cf-pep95-2-Id-CLTL2.txt", 6)</f>
        <v>6</v>
      </c>
      <c r="CM9" s="7">
        <f t="shared" ref="CM9:CM14" si="2">HYPERLINK("http://exon.niaid.nih.gov/transcriptome/C_felis/S2/links/cluster/cf-pep100-3-Id-CLU2.txt", 2)</f>
        <v>2</v>
      </c>
      <c r="CN9" s="2">
        <f t="shared" ref="CN9:CN14" si="3">HYPERLINK("http://exon.niaid.nih.gov/transcriptome/C_felis/S2/links/cluster/cf-pep100-3-Id-CLTL2.txt", 6)</f>
        <v>6</v>
      </c>
      <c r="CO9" s="7">
        <f t="shared" ref="CO9:CO14" si="4">HYPERLINK("http://exon.niaid.nih.gov/transcriptome/C_felis/S2/links/cluster/cf-pep100-4-Id-CLU2.txt", 2)</f>
        <v>2</v>
      </c>
      <c r="CP9" s="2">
        <f t="shared" ref="CP9:CP14" si="5">HYPERLINK("http://exon.niaid.nih.gov/transcriptome/C_felis/S2/links/cluster/cf-pep100-4-Id-CLTL2.txt", 6)</f>
        <v>6</v>
      </c>
      <c r="CQ9" s="7">
        <f t="shared" ref="CQ9:CQ14" si="6">HYPERLINK("http://exon.niaid.nih.gov/transcriptome/C_felis/S2/links/cluster/cf-pep25-50-Sim-CLU4.txt", 4)</f>
        <v>4</v>
      </c>
      <c r="CR9" s="2">
        <f t="shared" ref="CR9:CR14" si="7">HYPERLINK("http://exon.niaid.nih.gov/transcriptome/C_felis/S2/links/cluster/cf-pep25-50-Sim-CLTL4.txt", 6)</f>
        <v>6</v>
      </c>
      <c r="CS9" s="7">
        <f t="shared" ref="CS9:CS14" si="8">HYPERLINK("http://exon.niaid.nih.gov/transcriptome/C_felis/S2/links/cluster/cf-pep30-50-Sim-CLU5.txt", 5)</f>
        <v>5</v>
      </c>
      <c r="CT9" s="2">
        <f t="shared" ref="CT9:CT14" si="9">HYPERLINK("http://exon.niaid.nih.gov/transcriptome/C_felis/S2/links/cluster/cf-pep30-50-Sim-CLTL5.txt", 6)</f>
        <v>6</v>
      </c>
      <c r="CU9" s="7">
        <v>104</v>
      </c>
      <c r="CV9" s="2">
        <v>1</v>
      </c>
      <c r="CW9" s="7">
        <v>107</v>
      </c>
      <c r="CX9" s="2">
        <v>1</v>
      </c>
      <c r="CY9" s="7">
        <v>112</v>
      </c>
      <c r="CZ9" s="2">
        <v>1</v>
      </c>
      <c r="DA9" s="7">
        <v>116</v>
      </c>
      <c r="DB9" s="2">
        <v>1</v>
      </c>
      <c r="DC9" s="7">
        <v>118</v>
      </c>
      <c r="DD9" s="2">
        <v>1</v>
      </c>
      <c r="DE9" s="7">
        <v>120</v>
      </c>
      <c r="DF9" s="2">
        <v>1</v>
      </c>
      <c r="DG9" s="7">
        <v>123</v>
      </c>
      <c r="DH9" s="2">
        <v>1</v>
      </c>
      <c r="DI9" s="7">
        <v>124</v>
      </c>
      <c r="DJ9" s="2">
        <v>1</v>
      </c>
      <c r="DK9" s="7">
        <v>124</v>
      </c>
      <c r="DL9" s="2">
        <v>1</v>
      </c>
      <c r="DM9" s="7">
        <v>126</v>
      </c>
      <c r="DN9" s="2">
        <v>1</v>
      </c>
      <c r="DO9" s="7">
        <v>129</v>
      </c>
      <c r="DP9" s="2">
        <v>1</v>
      </c>
      <c r="DQ9" s="7">
        <v>131</v>
      </c>
      <c r="DR9" s="2">
        <v>1</v>
      </c>
      <c r="DS9" s="7">
        <v>133</v>
      </c>
      <c r="DT9" s="2">
        <v>1</v>
      </c>
    </row>
    <row r="10" spans="1:124" x14ac:dyDescent="0.2">
      <c r="A10" t="str">
        <f>HYPERLINK("http://exon.niaid.nih.gov/transcriptome/C_felis/S2/links/pep/Cf-47-pep.txt","Cf-47")</f>
        <v>Cf-47</v>
      </c>
      <c r="B10" s="2">
        <v>17</v>
      </c>
      <c r="C10">
        <v>257</v>
      </c>
      <c r="D10" t="str">
        <f>HYPERLINK("http://exon.niaid.nih.gov/transcriptome/C_felis/S2/links/cds/Cf-47-cds.txt","Cf-47")</f>
        <v>Cf-47</v>
      </c>
      <c r="E10">
        <v>774</v>
      </c>
      <c r="F10" t="s">
        <v>504</v>
      </c>
      <c r="G10">
        <v>0</v>
      </c>
      <c r="I10" s="2" t="s">
        <v>4</v>
      </c>
      <c r="J10" s="2" t="s">
        <v>3</v>
      </c>
      <c r="K10" s="20" t="str">
        <f>HYPERLINK("http://exon.niaid.nih.gov/transcriptome/C_felis/S2/links/Sigp/Cf-47-SigP.txt","CYT")</f>
        <v>CYT</v>
      </c>
      <c r="L10" s="2" t="s">
        <v>7</v>
      </c>
      <c r="M10" s="2">
        <v>29.015000000000001</v>
      </c>
      <c r="N10" s="2">
        <v>9.3800000000000008</v>
      </c>
      <c r="O10" s="2" t="s">
        <v>7</v>
      </c>
      <c r="P10" s="2" t="s">
        <v>7</v>
      </c>
      <c r="Q10" s="24" t="s">
        <v>550</v>
      </c>
      <c r="R10" s="20">
        <v>0</v>
      </c>
      <c r="S10" s="2" t="s">
        <v>7</v>
      </c>
      <c r="T10" s="2" t="s">
        <v>7</v>
      </c>
      <c r="U10" s="2" t="s">
        <v>7</v>
      </c>
      <c r="V10" s="2" t="s">
        <v>7</v>
      </c>
      <c r="W10" s="2" t="s">
        <v>7</v>
      </c>
      <c r="X10" s="20" t="str">
        <f>HYPERLINK("http://exon.niaid.nih.gov/transcriptome/C_felis/S2/links/netoglyc/CF-47-netoglyc.txt","0")</f>
        <v>0</v>
      </c>
      <c r="Y10" s="2">
        <v>12.8</v>
      </c>
      <c r="Z10" s="2">
        <v>5.8</v>
      </c>
      <c r="AA10" s="2">
        <v>4.3</v>
      </c>
      <c r="AB10" t="s">
        <v>451</v>
      </c>
      <c r="AC10" t="s">
        <v>500</v>
      </c>
      <c r="AD10" t="s">
        <v>504</v>
      </c>
      <c r="AE10" s="2">
        <v>17</v>
      </c>
      <c r="AF10" s="4" t="str">
        <f>HYPERLINK("http://exon.niaid.nih.gov/transcriptome/C_felis/S2/links/NR/Cf-47-NR.txt","truncated secreted salivary acid phosphatase")</f>
        <v>truncated secreted salivary acid phosphatase</v>
      </c>
      <c r="AG10" t="str">
        <f>HYPERLINK("http://www.ncbi.nlm.nih.gov/sutils/blink.cgi?pid=121511916","6E-047")</f>
        <v>6E-047</v>
      </c>
      <c r="AH10" t="str">
        <f>HYPERLINK("http://www.ncbi.nlm.nih.gov/protein/121511916","gi|121511916")</f>
        <v>gi|121511916</v>
      </c>
      <c r="AI10">
        <v>192</v>
      </c>
      <c r="AJ10">
        <v>250</v>
      </c>
      <c r="AK10">
        <v>374</v>
      </c>
      <c r="AL10">
        <v>36</v>
      </c>
      <c r="AM10">
        <v>67</v>
      </c>
      <c r="AN10" t="s">
        <v>63</v>
      </c>
      <c r="AO10" s="4" t="str">
        <f>HYPERLINK("http://exon.niaid.nih.gov/transcriptome/C_felis/S2/links/SWISSP/Cf-47-SWISSP.txt","Lysosomal acid phosphatase")</f>
        <v>Lysosomal acid phosphatase</v>
      </c>
      <c r="AP10" t="str">
        <f>HYPERLINK("http://www.uniprot.org/uniprot/B1H1P9","0.003")</f>
        <v>0.003</v>
      </c>
      <c r="AQ10" t="s">
        <v>330</v>
      </c>
      <c r="AR10">
        <v>42.4</v>
      </c>
      <c r="AS10">
        <v>217</v>
      </c>
      <c r="AT10">
        <v>432</v>
      </c>
      <c r="AU10">
        <v>23</v>
      </c>
      <c r="AV10">
        <v>50</v>
      </c>
      <c r="AW10" t="s">
        <v>88</v>
      </c>
      <c r="AX10" s="4" t="s">
        <v>7</v>
      </c>
      <c r="AY10" t="s">
        <v>7</v>
      </c>
      <c r="AZ10" t="s">
        <v>7</v>
      </c>
      <c r="BA10" t="s">
        <v>7</v>
      </c>
      <c r="BB10" t="s">
        <v>7</v>
      </c>
      <c r="BC10" t="s">
        <v>7</v>
      </c>
      <c r="BD10" t="s">
        <v>7</v>
      </c>
      <c r="BE10" t="s">
        <v>7</v>
      </c>
      <c r="BF10" t="s">
        <v>7</v>
      </c>
      <c r="BG10" t="s">
        <v>7</v>
      </c>
      <c r="BH10" t="s">
        <v>7</v>
      </c>
      <c r="BI10" t="s">
        <v>7</v>
      </c>
      <c r="BJ10" t="s">
        <v>7</v>
      </c>
      <c r="BK10" t="s">
        <v>7</v>
      </c>
      <c r="BL10" t="s">
        <v>7</v>
      </c>
      <c r="BM10" t="s">
        <v>7</v>
      </c>
      <c r="BN10" t="s">
        <v>7</v>
      </c>
      <c r="BO10" t="s">
        <v>7</v>
      </c>
      <c r="BP10" t="s">
        <v>7</v>
      </c>
      <c r="BQ10" t="s">
        <v>7</v>
      </c>
      <c r="BR10" t="s">
        <v>7</v>
      </c>
      <c r="BS10" t="s">
        <v>7</v>
      </c>
      <c r="BT10" t="s">
        <v>7</v>
      </c>
      <c r="BU10" s="4" t="str">
        <f>HYPERLINK("http://exon.niaid.nih.gov/transcriptome/C_felis/S2/links/KOG/Cf-47-KOG.txt","Lysosomal &amp; prostatic acid phosphatases")</f>
        <v>Lysosomal &amp; prostatic acid phosphatases</v>
      </c>
      <c r="BV10" t="str">
        <f>HYPERLINK("http://www.ncbi.nlm.nih.gov/COG/grace/shokog.cgi?KOG3720","7E-010")</f>
        <v>7E-010</v>
      </c>
      <c r="BW10" t="s">
        <v>133</v>
      </c>
      <c r="BX10" t="str">
        <f>HYPERLINK("http://exon.niaid.nih.gov/transcriptome/C_felis/S2/links/KOG/Cf-47-KOG.txt","KOG3720")</f>
        <v>KOG3720</v>
      </c>
      <c r="BY10" s="4" t="str">
        <f>HYPERLINK("http://exon.niaid.nih.gov/transcriptome/C_felis/S2/links/CDD/Cf-47-CDD.txt","His_Phos_2")</f>
        <v>His_Phos_2</v>
      </c>
      <c r="BZ10" t="str">
        <f>HYPERLINK("http://www.ncbi.nlm.nih.gov/Structure/cdd/cddsrv.cgi?uid=pfam00328&amp;version=v4.0","2E-005")</f>
        <v>2E-005</v>
      </c>
      <c r="CA10" t="s">
        <v>331</v>
      </c>
      <c r="CB10" s="4" t="str">
        <f>HYPERLINK("http://exon.niaid.nih.gov/transcriptome/C_felis/S2/links/PFAM/Cf-47-PFAM.txt","His_Phos_2")</f>
        <v>His_Phos_2</v>
      </c>
      <c r="CC10" t="str">
        <f>HYPERLINK("http://pfam.sanger.ac.uk/family?acc=PF00328","4E-006")</f>
        <v>4E-006</v>
      </c>
      <c r="CD10" s="4" t="str">
        <f>HYPERLINK("http://exon.niaid.nih.gov/transcriptome/C_felis/S2/links/SMART/Cf-47-SMART.txt","LysM")</f>
        <v>LysM</v>
      </c>
      <c r="CE10" t="str">
        <f>HYPERLINK("http://smart.embl-heidelberg.de/smart/do_annotation.pl?DOMAIN=LysM&amp;BLAST=DUMMY","1.7")</f>
        <v>1.7</v>
      </c>
      <c r="CF10" s="4" t="s">
        <v>7</v>
      </c>
      <c r="CG10" t="s">
        <v>7</v>
      </c>
      <c r="CH10" t="s">
        <v>7</v>
      </c>
      <c r="CI10" t="s">
        <v>7</v>
      </c>
      <c r="CJ10" t="s">
        <v>7</v>
      </c>
      <c r="CK10" s="7">
        <f t="shared" si="0"/>
        <v>2</v>
      </c>
      <c r="CL10" s="2">
        <f t="shared" si="1"/>
        <v>6</v>
      </c>
      <c r="CM10" s="7">
        <f t="shared" si="2"/>
        <v>2</v>
      </c>
      <c r="CN10" s="2">
        <f t="shared" si="3"/>
        <v>6</v>
      </c>
      <c r="CO10" s="7">
        <f t="shared" si="4"/>
        <v>2</v>
      </c>
      <c r="CP10" s="2">
        <f t="shared" si="5"/>
        <v>6</v>
      </c>
      <c r="CQ10" s="7">
        <f t="shared" si="6"/>
        <v>4</v>
      </c>
      <c r="CR10" s="2">
        <f t="shared" si="7"/>
        <v>6</v>
      </c>
      <c r="CS10" s="7">
        <f t="shared" si="8"/>
        <v>5</v>
      </c>
      <c r="CT10" s="2">
        <f t="shared" si="9"/>
        <v>6</v>
      </c>
      <c r="CU10" s="7">
        <f>HYPERLINK("http://exon.niaid.nih.gov/transcriptome/C_felis/S2/links/cluster/cf-pep35-50-Sim-CLU4.txt", 4)</f>
        <v>4</v>
      </c>
      <c r="CV10" s="2">
        <f>HYPERLINK("http://exon.niaid.nih.gov/transcriptome/C_felis/S2/links/cluster/cf-pep35-50-Sim-CLTL4.txt", 4)</f>
        <v>4</v>
      </c>
      <c r="CW10" s="7">
        <f>HYPERLINK("http://exon.niaid.nih.gov/transcriptome/C_felis/S2/links/cluster/cf-pep40-50-Sim-CLU4.txt", 4)</f>
        <v>4</v>
      </c>
      <c r="CX10" s="2">
        <f>HYPERLINK("http://exon.niaid.nih.gov/transcriptome/C_felis/S2/links/cluster/cf-pep40-50-Sim-CLTL4.txt", 4)</f>
        <v>4</v>
      </c>
      <c r="CY10" s="7">
        <f>HYPERLINK("http://exon.niaid.nih.gov/transcriptome/C_felis/S2/links/cluster/cf-pep45-50-Sim-CLU4.txt", 4)</f>
        <v>4</v>
      </c>
      <c r="CZ10" s="2">
        <f>HYPERLINK("http://exon.niaid.nih.gov/transcriptome/C_felis/S2/links/cluster/cf-pep45-50-Sim-CLTL4.txt", 4)</f>
        <v>4</v>
      </c>
      <c r="DA10" s="7">
        <f>HYPERLINK("http://exon.niaid.nih.gov/transcriptome/C_felis/S2/links/cluster/cf-pep50-50-Sim-CLU9.txt", 9)</f>
        <v>9</v>
      </c>
      <c r="DB10" s="2">
        <f>HYPERLINK("http://exon.niaid.nih.gov/transcriptome/C_felis/S2/links/cluster/cf-pep50-50-Sim-CLTL9.txt", 3)</f>
        <v>3</v>
      </c>
      <c r="DC10" s="7">
        <f>HYPERLINK("http://exon.niaid.nih.gov/transcriptome/C_felis/S2/links/cluster/cf-pep55-50-Sim-CLU8.txt", 8)</f>
        <v>8</v>
      </c>
      <c r="DD10" s="2">
        <f>HYPERLINK("http://exon.niaid.nih.gov/transcriptome/C_felis/S2/links/cluster/cf-pep55-50-Sim-CLTL8.txt", 3)</f>
        <v>3</v>
      </c>
      <c r="DE10" s="7">
        <f>HYPERLINK("http://exon.niaid.nih.gov/transcriptome/C_felis/S2/links/cluster/cf-pep60-50-Sim-CLU15.txt", 15)</f>
        <v>15</v>
      </c>
      <c r="DF10" s="2">
        <f>HYPERLINK("http://exon.niaid.nih.gov/transcriptome/C_felis/S2/links/cluster/cf-pep60-50-Sim-CLTL15.txt", 2)</f>
        <v>2</v>
      </c>
      <c r="DG10" s="7">
        <f>HYPERLINK("http://exon.niaid.nih.gov/transcriptome/C_felis/S2/links/cluster/cf-pep65-50-Sim-CLU12.txt", 12)</f>
        <v>12</v>
      </c>
      <c r="DH10" s="2">
        <f>HYPERLINK("http://exon.niaid.nih.gov/transcriptome/C_felis/S2/links/cluster/cf-pep65-50-Sim-CLTL12.txt", 2)</f>
        <v>2</v>
      </c>
      <c r="DI10" s="7">
        <f>HYPERLINK("http://exon.niaid.nih.gov/transcriptome/C_felis/S2/links/cluster/cf-pep70-50-Sim-CLU12.txt", 12)</f>
        <v>12</v>
      </c>
      <c r="DJ10" s="2">
        <f>HYPERLINK("http://exon.niaid.nih.gov/transcriptome/C_felis/S2/links/cluster/cf-pep70-50-Sim-CLTL12.txt", 2)</f>
        <v>2</v>
      </c>
      <c r="DK10" s="7">
        <f>HYPERLINK("http://exon.niaid.nih.gov/transcriptome/C_felis/S2/links/cluster/cf-pep75-50-Sim-CLU11.txt", 11)</f>
        <v>11</v>
      </c>
      <c r="DL10" s="2">
        <f>HYPERLINK("http://exon.niaid.nih.gov/transcriptome/C_felis/S2/links/cluster/cf-pep75-50-Sim-CLTL11.txt", 2)</f>
        <v>2</v>
      </c>
      <c r="DM10" s="7">
        <f>HYPERLINK("http://exon.niaid.nih.gov/transcriptome/C_felis/S2/links/cluster/cf-pep80-50-Sim-CLU10.txt", 10)</f>
        <v>10</v>
      </c>
      <c r="DN10" s="2">
        <f>HYPERLINK("http://exon.niaid.nih.gov/transcriptome/C_felis/S2/links/cluster/cf-pep80-50-Sim-CLTL10.txt", 2)</f>
        <v>2</v>
      </c>
      <c r="DO10" s="7">
        <v>121</v>
      </c>
      <c r="DP10" s="2">
        <v>1</v>
      </c>
      <c r="DQ10" s="7">
        <v>123</v>
      </c>
      <c r="DR10" s="2">
        <v>1</v>
      </c>
      <c r="DS10" s="7">
        <v>125</v>
      </c>
      <c r="DT10" s="2">
        <v>1</v>
      </c>
    </row>
    <row r="11" spans="1:124" x14ac:dyDescent="0.2">
      <c r="A11" t="str">
        <f>HYPERLINK("http://exon.niaid.nih.gov/transcriptome/C_felis/S2/links/pep/Cf-79-pep.txt","Cf-79")</f>
        <v>Cf-79</v>
      </c>
      <c r="B11" s="2">
        <v>13</v>
      </c>
      <c r="C11">
        <v>271</v>
      </c>
      <c r="D11" t="str">
        <f>HYPERLINK("http://exon.niaid.nih.gov/transcriptome/C_felis/S2/links/cds/Cf-79-cds.txt","Cf-79")</f>
        <v>Cf-79</v>
      </c>
      <c r="E11">
        <v>816</v>
      </c>
      <c r="F11" t="s">
        <v>504</v>
      </c>
      <c r="G11">
        <v>0</v>
      </c>
      <c r="I11" s="2" t="s">
        <v>10</v>
      </c>
      <c r="J11" s="2" t="s">
        <v>3</v>
      </c>
      <c r="K11" s="20" t="str">
        <f>HYPERLINK("http://exon.niaid.nih.gov/transcriptome/C_felis/S2/links/Sigp/Cf-79-SigP.txt","CYT")</f>
        <v>CYT</v>
      </c>
      <c r="L11" s="2" t="s">
        <v>7</v>
      </c>
      <c r="M11" s="2">
        <v>30.76</v>
      </c>
      <c r="N11" s="2">
        <v>9.14</v>
      </c>
      <c r="O11" s="2" t="s">
        <v>7</v>
      </c>
      <c r="P11" s="2" t="s">
        <v>7</v>
      </c>
      <c r="Q11" s="24" t="s">
        <v>551</v>
      </c>
      <c r="R11" s="20">
        <v>0</v>
      </c>
      <c r="S11" s="2" t="s">
        <v>7</v>
      </c>
      <c r="T11" s="2" t="s">
        <v>7</v>
      </c>
      <c r="U11" s="2" t="s">
        <v>7</v>
      </c>
      <c r="V11" s="2" t="s">
        <v>7</v>
      </c>
      <c r="W11" s="2" t="s">
        <v>7</v>
      </c>
      <c r="X11" s="20" t="str">
        <f>HYPERLINK("http://exon.niaid.nih.gov/transcriptome/C_felis/S2/links/netoglyc/CF-79-netoglyc.txt","0")</f>
        <v>0</v>
      </c>
      <c r="Y11" s="2">
        <v>14</v>
      </c>
      <c r="Z11" s="2">
        <v>5.2</v>
      </c>
      <c r="AA11" s="2">
        <v>4.4000000000000004</v>
      </c>
      <c r="AB11" t="s">
        <v>451</v>
      </c>
      <c r="AC11" t="s">
        <v>500</v>
      </c>
      <c r="AD11" t="s">
        <v>504</v>
      </c>
      <c r="AE11" s="2">
        <v>13</v>
      </c>
      <c r="AF11" s="4" t="str">
        <f>HYPERLINK("http://exon.niaid.nih.gov/transcriptome/C_felis/S2/links/NR/Cf-79-NR.txt","truncated secreted salivary acid phosphatase")</f>
        <v>truncated secreted salivary acid phosphatase</v>
      </c>
      <c r="AG11" t="str">
        <f>HYPERLINK("http://www.ncbi.nlm.nih.gov/sutils/blink.cgi?pid=121511916","2E-068")</f>
        <v>2E-068</v>
      </c>
      <c r="AH11" t="str">
        <f>HYPERLINK("http://www.ncbi.nlm.nih.gov/protein/121511916","gi|121511916")</f>
        <v>gi|121511916</v>
      </c>
      <c r="AI11">
        <v>263</v>
      </c>
      <c r="AJ11">
        <v>266</v>
      </c>
      <c r="AK11">
        <v>374</v>
      </c>
      <c r="AL11">
        <v>44</v>
      </c>
      <c r="AM11">
        <v>71</v>
      </c>
      <c r="AN11" t="s">
        <v>63</v>
      </c>
      <c r="AO11" s="4" t="str">
        <f>HYPERLINK("http://exon.niaid.nih.gov/transcriptome/C_felis/S2/links/SWISSP/Cf-79-SWISSP.txt","Testicular acid phosphatase homolog")</f>
        <v>Testicular acid phosphatase homolog</v>
      </c>
      <c r="AP11" t="str">
        <f>HYPERLINK("http://www.uniprot.org/uniprot/Q3KQG9","0.001")</f>
        <v>0.001</v>
      </c>
      <c r="AQ11" t="s">
        <v>340</v>
      </c>
      <c r="AR11">
        <v>43.9</v>
      </c>
      <c r="AS11">
        <v>184</v>
      </c>
      <c r="AT11">
        <v>420</v>
      </c>
      <c r="AU11">
        <v>25</v>
      </c>
      <c r="AV11">
        <v>44</v>
      </c>
      <c r="AW11" t="s">
        <v>88</v>
      </c>
      <c r="AX11" s="4" t="s">
        <v>332</v>
      </c>
      <c r="AY11">
        <f>HYPERLINK("http://exon.niaid.nih.gov/transcriptome/C_felis/S2/links/GO/Cf-79-GO.txt",0.00000006)</f>
        <v>5.9999999999999995E-8</v>
      </c>
      <c r="AZ11" t="str">
        <f>HYPERLINK("http://amigo.geneontology.org/cgi-bin/amigo/term_details?term=GO:0003993","GO:0003993")</f>
        <v>GO:0003993</v>
      </c>
      <c r="BA11" t="s">
        <v>333</v>
      </c>
      <c r="BB11" t="s">
        <v>334</v>
      </c>
      <c r="BC11" t="s">
        <v>335</v>
      </c>
      <c r="BD11" t="str">
        <f>HYPERLINK("http://www.genome.jp/dbget-bin/www_bfind_sub?mode=bfind&amp;max_hit=1000&amp;dbkey=kegg&amp;keywords=EC:3.1.3.2","EC:3.1.3.2")</f>
        <v>EC:3.1.3.2</v>
      </c>
      <c r="BF11">
        <v>5.9999999999999995E-8</v>
      </c>
      <c r="BG11" t="str">
        <f>HYPERLINK("http://amigo.geneontology.org/cgi-bin/amigo/term_details?term=GO:0005575","GO:0005575")</f>
        <v>GO:0005575</v>
      </c>
      <c r="BH11" t="s">
        <v>114</v>
      </c>
      <c r="BI11" t="s">
        <v>115</v>
      </c>
      <c r="BJ11" t="s">
        <v>116</v>
      </c>
      <c r="BK11" t="s">
        <v>7</v>
      </c>
      <c r="BM11">
        <v>5.9999999999999995E-8</v>
      </c>
      <c r="BN11" t="s">
        <v>7</v>
      </c>
      <c r="BO11" t="s">
        <v>7</v>
      </c>
      <c r="BP11" t="s">
        <v>7</v>
      </c>
      <c r="BQ11" t="s">
        <v>7</v>
      </c>
      <c r="BS11" t="s">
        <v>7</v>
      </c>
      <c r="BT11" t="s">
        <v>7</v>
      </c>
      <c r="BU11" s="4" t="str">
        <f>HYPERLINK("http://exon.niaid.nih.gov/transcriptome/C_felis/S2/links/KOG/Cf-79-KOG.txt","Lysosomal &amp; prostatic acid phosphatases")</f>
        <v>Lysosomal &amp; prostatic acid phosphatases</v>
      </c>
      <c r="BV11" t="str">
        <f>HYPERLINK("http://www.ncbi.nlm.nih.gov/COG/grace/shokog.cgi?KOG3720","6E-009")</f>
        <v>6E-009</v>
      </c>
      <c r="BW11" t="s">
        <v>133</v>
      </c>
      <c r="BX11" t="str">
        <f>HYPERLINK("http://exon.niaid.nih.gov/transcriptome/C_felis/S2/links/KOG/Cf-79-KOG.txt","KOG3720")</f>
        <v>KOG3720</v>
      </c>
      <c r="BY11" s="4" t="str">
        <f>HYPERLINK("http://exon.niaid.nih.gov/transcriptome/C_felis/S2/links/CDD/Cf-79-CDD.txt","His_Phos_2")</f>
        <v>His_Phos_2</v>
      </c>
      <c r="BZ11" t="str">
        <f>HYPERLINK("http://www.ncbi.nlm.nih.gov/Structure/cdd/cddsrv.cgi?uid=pfam00328&amp;version=v4.0","6E-004")</f>
        <v>6E-004</v>
      </c>
      <c r="CA11" t="s">
        <v>404</v>
      </c>
      <c r="CB11" s="4" t="str">
        <f>HYPERLINK("http://exon.niaid.nih.gov/transcriptome/C_felis/S2/links/PFAM/Cf-79-PFAM.txt","His_Phos_2")</f>
        <v>His_Phos_2</v>
      </c>
      <c r="CC11" t="str">
        <f>HYPERLINK("http://pfam.sanger.ac.uk/family?acc=PF00328","1E-004")</f>
        <v>1E-004</v>
      </c>
      <c r="CD11" s="4" t="str">
        <f>HYPERLINK("http://exon.niaid.nih.gov/transcriptome/C_felis/S2/links/SMART/Cf-79-SMART.txt","Alpha_kinase")</f>
        <v>Alpha_kinase</v>
      </c>
      <c r="CE11" t="str">
        <f>HYPERLINK("http://smart.embl-heidelberg.de/smart/do_annotation.pl?DOMAIN=Alpha_kinase&amp;BLAST=DUMMY","0.65")</f>
        <v>0.65</v>
      </c>
      <c r="CF11" s="4" t="s">
        <v>7</v>
      </c>
      <c r="CG11" t="s">
        <v>7</v>
      </c>
      <c r="CH11" t="s">
        <v>7</v>
      </c>
      <c r="CI11" t="s">
        <v>7</v>
      </c>
      <c r="CJ11" t="s">
        <v>7</v>
      </c>
      <c r="CK11" s="7">
        <f t="shared" si="0"/>
        <v>2</v>
      </c>
      <c r="CL11" s="2">
        <f t="shared" si="1"/>
        <v>6</v>
      </c>
      <c r="CM11" s="7">
        <f t="shared" si="2"/>
        <v>2</v>
      </c>
      <c r="CN11" s="2">
        <f t="shared" si="3"/>
        <v>6</v>
      </c>
      <c r="CO11" s="7">
        <f t="shared" si="4"/>
        <v>2</v>
      </c>
      <c r="CP11" s="2">
        <f t="shared" si="5"/>
        <v>6</v>
      </c>
      <c r="CQ11" s="7">
        <f t="shared" si="6"/>
        <v>4</v>
      </c>
      <c r="CR11" s="2">
        <f t="shared" si="7"/>
        <v>6</v>
      </c>
      <c r="CS11" s="7">
        <f t="shared" si="8"/>
        <v>5</v>
      </c>
      <c r="CT11" s="2">
        <f t="shared" si="9"/>
        <v>6</v>
      </c>
      <c r="CU11" s="7">
        <f>HYPERLINK("http://exon.niaid.nih.gov/transcriptome/C_felis/S2/links/cluster/cf-pep35-50-Sim-CLU4.txt", 4)</f>
        <v>4</v>
      </c>
      <c r="CV11" s="2">
        <f>HYPERLINK("http://exon.niaid.nih.gov/transcriptome/C_felis/S2/links/cluster/cf-pep35-50-Sim-CLTL4.txt", 4)</f>
        <v>4</v>
      </c>
      <c r="CW11" s="7">
        <f>HYPERLINK("http://exon.niaid.nih.gov/transcriptome/C_felis/S2/links/cluster/cf-pep40-50-Sim-CLU4.txt", 4)</f>
        <v>4</v>
      </c>
      <c r="CX11" s="2">
        <f>HYPERLINK("http://exon.niaid.nih.gov/transcriptome/C_felis/S2/links/cluster/cf-pep40-50-Sim-CLTL4.txt", 4)</f>
        <v>4</v>
      </c>
      <c r="CY11" s="7">
        <f>HYPERLINK("http://exon.niaid.nih.gov/transcriptome/C_felis/S2/links/cluster/cf-pep45-50-Sim-CLU4.txt", 4)</f>
        <v>4</v>
      </c>
      <c r="CZ11" s="2">
        <f>HYPERLINK("http://exon.niaid.nih.gov/transcriptome/C_felis/S2/links/cluster/cf-pep45-50-Sim-CLTL4.txt", 4)</f>
        <v>4</v>
      </c>
      <c r="DA11" s="7">
        <f>HYPERLINK("http://exon.niaid.nih.gov/transcriptome/C_felis/S2/links/cluster/cf-pep50-50-Sim-CLU9.txt", 9)</f>
        <v>9</v>
      </c>
      <c r="DB11" s="2">
        <f>HYPERLINK("http://exon.niaid.nih.gov/transcriptome/C_felis/S2/links/cluster/cf-pep50-50-Sim-CLTL9.txt", 3)</f>
        <v>3</v>
      </c>
      <c r="DC11" s="7">
        <f>HYPERLINK("http://exon.niaid.nih.gov/transcriptome/C_felis/S2/links/cluster/cf-pep55-50-Sim-CLU8.txt", 8)</f>
        <v>8</v>
      </c>
      <c r="DD11" s="2">
        <f>HYPERLINK("http://exon.niaid.nih.gov/transcriptome/C_felis/S2/links/cluster/cf-pep55-50-Sim-CLTL8.txt", 3)</f>
        <v>3</v>
      </c>
      <c r="DE11" s="7">
        <v>174</v>
      </c>
      <c r="DF11" s="2">
        <v>1</v>
      </c>
      <c r="DG11" s="7">
        <v>179</v>
      </c>
      <c r="DH11" s="2">
        <v>1</v>
      </c>
      <c r="DI11" s="7">
        <v>181</v>
      </c>
      <c r="DJ11" s="2">
        <v>1</v>
      </c>
      <c r="DK11" s="7">
        <v>183</v>
      </c>
      <c r="DL11" s="2">
        <v>1</v>
      </c>
      <c r="DM11" s="7">
        <v>185</v>
      </c>
      <c r="DN11" s="2">
        <v>1</v>
      </c>
      <c r="DO11" s="7">
        <v>190</v>
      </c>
      <c r="DP11" s="2">
        <v>1</v>
      </c>
      <c r="DQ11" s="7">
        <v>192</v>
      </c>
      <c r="DR11" s="2">
        <v>1</v>
      </c>
      <c r="DS11" s="7">
        <v>197</v>
      </c>
      <c r="DT11" s="2">
        <v>1</v>
      </c>
    </row>
    <row r="12" spans="1:124" x14ac:dyDescent="0.2">
      <c r="A12" t="str">
        <f>HYPERLINK("http://exon.niaid.nih.gov/transcriptome/C_felis/S2/links/pep/Cf-735-pep.txt","Cf-735")</f>
        <v>Cf-735</v>
      </c>
      <c r="B12" s="2">
        <v>1</v>
      </c>
      <c r="C12">
        <v>300</v>
      </c>
      <c r="D12" t="str">
        <f>HYPERLINK("http://exon.niaid.nih.gov/transcriptome/C_felis/S2/links/cds/Cf-735-cds.txt","Cf-735")</f>
        <v>Cf-735</v>
      </c>
      <c r="E12">
        <v>903</v>
      </c>
      <c r="F12" t="s">
        <v>505</v>
      </c>
      <c r="G12">
        <v>0.3333333</v>
      </c>
      <c r="I12" s="2" t="s">
        <v>10</v>
      </c>
      <c r="J12" s="2" t="s">
        <v>3</v>
      </c>
      <c r="K12" s="20" t="str">
        <f>HYPERLINK("http://exon.niaid.nih.gov/transcriptome/C_felis/S2/links/Sigp/Cf-735-SigP.txt","CYT")</f>
        <v>CYT</v>
      </c>
      <c r="L12" s="2" t="s">
        <v>7</v>
      </c>
      <c r="M12" s="2">
        <v>35.100999999999999</v>
      </c>
      <c r="N12" s="2">
        <v>9.39</v>
      </c>
      <c r="O12" s="2" t="s">
        <v>7</v>
      </c>
      <c r="P12" s="2" t="s">
        <v>7</v>
      </c>
      <c r="Q12" s="24" t="s">
        <v>552</v>
      </c>
      <c r="R12" s="20">
        <v>0</v>
      </c>
      <c r="S12" s="2" t="s">
        <v>7</v>
      </c>
      <c r="T12" s="2" t="s">
        <v>7</v>
      </c>
      <c r="U12" s="2" t="s">
        <v>7</v>
      </c>
      <c r="V12" s="2" t="s">
        <v>7</v>
      </c>
      <c r="W12" s="2" t="s">
        <v>7</v>
      </c>
      <c r="X12" s="20" t="str">
        <f>HYPERLINK("http://exon.niaid.nih.gov/transcriptome/C_felis/S2/links/netoglyc/CF-735-netoglyc.txt","0")</f>
        <v>0</v>
      </c>
      <c r="Y12" s="2">
        <v>11</v>
      </c>
      <c r="Z12" s="2">
        <v>4.3</v>
      </c>
      <c r="AA12" s="2">
        <v>4.7</v>
      </c>
      <c r="AB12" t="s">
        <v>451</v>
      </c>
      <c r="AC12" t="s">
        <v>500</v>
      </c>
      <c r="AD12" t="s">
        <v>505</v>
      </c>
      <c r="AE12" s="2">
        <v>1</v>
      </c>
      <c r="AF12" s="4" t="str">
        <f>HYPERLINK("http://exon.niaid.nih.gov/transcriptome/C_felis/S2/links/NR/Cf-735-NR.txt","secreted salivary protein")</f>
        <v>secreted salivary protein</v>
      </c>
      <c r="AG12" t="str">
        <f>HYPERLINK("http://www.ncbi.nlm.nih.gov/sutils/blink.cgi?pid=121511926","1E-090")</f>
        <v>1E-090</v>
      </c>
      <c r="AH12" t="str">
        <f>HYPERLINK("http://www.ncbi.nlm.nih.gov/protein/121511926","gi|121511926")</f>
        <v>gi|121511926</v>
      </c>
      <c r="AI12">
        <v>337</v>
      </c>
      <c r="AJ12">
        <v>292</v>
      </c>
      <c r="AK12">
        <v>391</v>
      </c>
      <c r="AL12">
        <v>54</v>
      </c>
      <c r="AM12">
        <v>75</v>
      </c>
      <c r="AN12" t="s">
        <v>63</v>
      </c>
      <c r="AO12" s="4" t="str">
        <f>HYPERLINK("http://exon.niaid.nih.gov/transcriptome/C_felis/S2/links/SWISSP/Cf-735-SWISSP.txt","Putative membrane protein ycf1")</f>
        <v>Putative membrane protein ycf1</v>
      </c>
      <c r="AP12" t="str">
        <f>HYPERLINK("http://www.uniprot.org/uniprot/A8W3M6","0.012")</f>
        <v>0.012</v>
      </c>
      <c r="AQ12" t="s">
        <v>131</v>
      </c>
      <c r="AR12">
        <v>40.799999999999997</v>
      </c>
      <c r="AS12">
        <v>123</v>
      </c>
      <c r="AT12">
        <v>1676</v>
      </c>
      <c r="AU12">
        <v>26</v>
      </c>
      <c r="AV12">
        <v>7</v>
      </c>
      <c r="AW12" t="s">
        <v>132</v>
      </c>
      <c r="AX12" s="4" t="s">
        <v>7</v>
      </c>
      <c r="AY12" t="s">
        <v>7</v>
      </c>
      <c r="AZ12" t="s">
        <v>7</v>
      </c>
      <c r="BA12" t="s">
        <v>7</v>
      </c>
      <c r="BB12" t="s">
        <v>7</v>
      </c>
      <c r="BC12" t="s">
        <v>7</v>
      </c>
      <c r="BD12" t="s">
        <v>7</v>
      </c>
      <c r="BE12" t="s">
        <v>7</v>
      </c>
      <c r="BF12" t="s">
        <v>7</v>
      </c>
      <c r="BG12" t="s">
        <v>7</v>
      </c>
      <c r="BH12" t="s">
        <v>7</v>
      </c>
      <c r="BI12" t="s">
        <v>7</v>
      </c>
      <c r="BJ12" t="s">
        <v>7</v>
      </c>
      <c r="BK12" t="s">
        <v>7</v>
      </c>
      <c r="BL12" t="s">
        <v>7</v>
      </c>
      <c r="BM12" t="s">
        <v>7</v>
      </c>
      <c r="BN12" t="s">
        <v>7</v>
      </c>
      <c r="BO12" t="s">
        <v>7</v>
      </c>
      <c r="BP12" t="s">
        <v>7</v>
      </c>
      <c r="BQ12" t="s">
        <v>7</v>
      </c>
      <c r="BR12" t="s">
        <v>7</v>
      </c>
      <c r="BS12" t="s">
        <v>7</v>
      </c>
      <c r="BT12" t="s">
        <v>7</v>
      </c>
      <c r="BU12" s="4" t="str">
        <f>HYPERLINK("http://exon.niaid.nih.gov/transcriptome/C_felis/S2/links/KOG/Cf-735-KOG.txt","Lysosomal &amp; prostatic acid phosphatases")</f>
        <v>Lysosomal &amp; prostatic acid phosphatases</v>
      </c>
      <c r="BV12" t="str">
        <f>HYPERLINK("http://www.ncbi.nlm.nih.gov/COG/grace/shokog.cgi?KOG3720","9E-011")</f>
        <v>9E-011</v>
      </c>
      <c r="BW12" t="s">
        <v>133</v>
      </c>
      <c r="BX12" t="str">
        <f>HYPERLINK("http://exon.niaid.nih.gov/transcriptome/C_felis/S2/links/KOG/Cf-735-KOG.txt","KOG3720")</f>
        <v>KOG3720</v>
      </c>
      <c r="BY12" s="4" t="str">
        <f>HYPERLINK("http://exon.niaid.nih.gov/transcriptome/C_felis/S2/links/CDD/Cf-735-CDD.txt","His_Phos_2")</f>
        <v>His_Phos_2</v>
      </c>
      <c r="BZ12" t="str">
        <f>HYPERLINK("http://www.ncbi.nlm.nih.gov/Structure/cdd/cddsrv.cgi?uid=pfam00328&amp;version=v4.0","7E-005")</f>
        <v>7E-005</v>
      </c>
      <c r="CA12" t="s">
        <v>134</v>
      </c>
      <c r="CB12" s="4" t="str">
        <f>HYPERLINK("http://exon.niaid.nih.gov/transcriptome/C_felis/S2/links/PFAM/Cf-735-PFAM.txt","His_Phos_2")</f>
        <v>His_Phos_2</v>
      </c>
      <c r="CC12" t="str">
        <f>HYPERLINK("http://pfam.sanger.ac.uk/family?acc=PF00328","1E-005")</f>
        <v>1E-005</v>
      </c>
      <c r="CD12" s="4" t="str">
        <f>HYPERLINK("http://exon.niaid.nih.gov/transcriptome/C_felis/S2/links/SMART/Cf-735-SMART.txt","RhoGEF")</f>
        <v>RhoGEF</v>
      </c>
      <c r="CE12" t="str">
        <f>HYPERLINK("http://smart.embl-heidelberg.de/smart/do_annotation.pl?DOMAIN=RhoGEF&amp;BLAST=DUMMY","0.017")</f>
        <v>0.017</v>
      </c>
      <c r="CF12" s="4" t="s">
        <v>7</v>
      </c>
      <c r="CG12" t="s">
        <v>7</v>
      </c>
      <c r="CH12" t="s">
        <v>7</v>
      </c>
      <c r="CI12" t="s">
        <v>7</v>
      </c>
      <c r="CJ12" t="s">
        <v>7</v>
      </c>
      <c r="CK12" s="7">
        <f t="shared" si="0"/>
        <v>2</v>
      </c>
      <c r="CL12" s="2">
        <f t="shared" si="1"/>
        <v>6</v>
      </c>
      <c r="CM12" s="7">
        <f t="shared" si="2"/>
        <v>2</v>
      </c>
      <c r="CN12" s="2">
        <f t="shared" si="3"/>
        <v>6</v>
      </c>
      <c r="CO12" s="7">
        <f t="shared" si="4"/>
        <v>2</v>
      </c>
      <c r="CP12" s="2">
        <f t="shared" si="5"/>
        <v>6</v>
      </c>
      <c r="CQ12" s="7">
        <f t="shared" si="6"/>
        <v>4</v>
      </c>
      <c r="CR12" s="2">
        <f t="shared" si="7"/>
        <v>6</v>
      </c>
      <c r="CS12" s="7">
        <f t="shared" si="8"/>
        <v>5</v>
      </c>
      <c r="CT12" s="2">
        <f t="shared" si="9"/>
        <v>6</v>
      </c>
      <c r="CU12" s="7">
        <f>HYPERLINK("http://exon.niaid.nih.gov/transcriptome/C_felis/S2/links/cluster/cf-pep35-50-Sim-CLU4.txt", 4)</f>
        <v>4</v>
      </c>
      <c r="CV12" s="2">
        <f>HYPERLINK("http://exon.niaid.nih.gov/transcriptome/C_felis/S2/links/cluster/cf-pep35-50-Sim-CLTL4.txt", 4)</f>
        <v>4</v>
      </c>
      <c r="CW12" s="7">
        <f>HYPERLINK("http://exon.niaid.nih.gov/transcriptome/C_felis/S2/links/cluster/cf-pep40-50-Sim-CLU4.txt", 4)</f>
        <v>4</v>
      </c>
      <c r="CX12" s="2">
        <f>HYPERLINK("http://exon.niaid.nih.gov/transcriptome/C_felis/S2/links/cluster/cf-pep40-50-Sim-CLTL4.txt", 4)</f>
        <v>4</v>
      </c>
      <c r="CY12" s="7">
        <f>HYPERLINK("http://exon.niaid.nih.gov/transcriptome/C_felis/S2/links/cluster/cf-pep45-50-Sim-CLU4.txt", 4)</f>
        <v>4</v>
      </c>
      <c r="CZ12" s="2">
        <f>HYPERLINK("http://exon.niaid.nih.gov/transcriptome/C_felis/S2/links/cluster/cf-pep45-50-Sim-CLTL4.txt", 4)</f>
        <v>4</v>
      </c>
      <c r="DA12" s="7">
        <v>155</v>
      </c>
      <c r="DB12" s="2">
        <v>1</v>
      </c>
      <c r="DC12" s="7">
        <v>157</v>
      </c>
      <c r="DD12" s="2">
        <v>1</v>
      </c>
      <c r="DE12" s="7">
        <v>161</v>
      </c>
      <c r="DF12" s="2">
        <v>1</v>
      </c>
      <c r="DG12" s="7">
        <v>166</v>
      </c>
      <c r="DH12" s="2">
        <v>1</v>
      </c>
      <c r="DI12" s="7">
        <v>167</v>
      </c>
      <c r="DJ12" s="2">
        <v>1</v>
      </c>
      <c r="DK12" s="7">
        <v>169</v>
      </c>
      <c r="DL12" s="2">
        <v>1</v>
      </c>
      <c r="DM12" s="7">
        <v>171</v>
      </c>
      <c r="DN12" s="2">
        <v>1</v>
      </c>
      <c r="DO12" s="7">
        <v>175</v>
      </c>
      <c r="DP12" s="2">
        <v>1</v>
      </c>
      <c r="DQ12" s="7">
        <v>177</v>
      </c>
      <c r="DR12" s="2">
        <v>1</v>
      </c>
      <c r="DS12" s="7">
        <v>181</v>
      </c>
      <c r="DT12" s="2">
        <v>1</v>
      </c>
    </row>
    <row r="13" spans="1:124" x14ac:dyDescent="0.2">
      <c r="A13" t="str">
        <f>HYPERLINK("http://exon.niaid.nih.gov/transcriptome/C_felis/S2/links/pep/Cf-246-pep.txt","Cf-246")</f>
        <v>Cf-246</v>
      </c>
      <c r="B13" s="2">
        <v>1</v>
      </c>
      <c r="C13">
        <v>228</v>
      </c>
      <c r="D13" t="str">
        <f>HYPERLINK("http://exon.niaid.nih.gov/transcriptome/C_felis/S2/links/cds/Cf-246-cds.txt","Cf-246")</f>
        <v>Cf-246</v>
      </c>
      <c r="E13">
        <v>687</v>
      </c>
      <c r="F13" t="s">
        <v>501</v>
      </c>
      <c r="G13">
        <v>0</v>
      </c>
      <c r="I13" s="2" t="s">
        <v>10</v>
      </c>
      <c r="J13" s="2" t="s">
        <v>3</v>
      </c>
      <c r="K13" s="20" t="str">
        <f>HYPERLINK("http://exon.niaid.nih.gov/transcriptome/C_felis/S2/links/Sigp/Cf-246-SigP.txt","CYT")</f>
        <v>CYT</v>
      </c>
      <c r="L13" s="2" t="s">
        <v>7</v>
      </c>
      <c r="M13" s="2">
        <v>25.992000000000001</v>
      </c>
      <c r="N13" s="2">
        <v>8.36</v>
      </c>
      <c r="O13" s="2" t="s">
        <v>7</v>
      </c>
      <c r="P13" s="2" t="s">
        <v>7</v>
      </c>
      <c r="Q13" s="24" t="s">
        <v>553</v>
      </c>
      <c r="R13" s="20" t="str">
        <f>HYPERLINK("http://exon.niaid.nih.gov/transcriptome/C_felis/S2/links/tmhmm/CF-246-tmhmm.txt","1")</f>
        <v>1</v>
      </c>
      <c r="S13" s="2">
        <v>9.6</v>
      </c>
      <c r="T13" s="2">
        <v>86.4</v>
      </c>
      <c r="U13" s="2">
        <v>3.9</v>
      </c>
      <c r="V13" s="2" t="s">
        <v>7</v>
      </c>
      <c r="W13" s="2">
        <v>197</v>
      </c>
      <c r="X13" s="20" t="str">
        <f>HYPERLINK("http://exon.niaid.nih.gov/transcriptome/C_felis/S2/links/netoglyc/CF-246-netoglyc.txt","0")</f>
        <v>0</v>
      </c>
      <c r="Y13" s="2">
        <v>9.1999999999999993</v>
      </c>
      <c r="Z13" s="2">
        <v>5.3</v>
      </c>
      <c r="AA13" s="2">
        <v>6.6</v>
      </c>
      <c r="AB13" t="s">
        <v>451</v>
      </c>
      <c r="AC13" t="s">
        <v>500</v>
      </c>
      <c r="AD13" t="s">
        <v>501</v>
      </c>
      <c r="AE13" s="2">
        <v>1</v>
      </c>
      <c r="AF13" s="4" t="str">
        <f>HYPERLINK("http://exon.niaid.nih.gov/transcriptome/C_felis/S2/links/NR/Cf-246-NR.txt","secreted salivary acid phosphatase")</f>
        <v>secreted salivary acid phosphatase</v>
      </c>
      <c r="AG13" t="str">
        <f>HYPERLINK("http://www.ncbi.nlm.nih.gov/sutils/blink.cgi?pid=121511918","2E-005")</f>
        <v>2E-005</v>
      </c>
      <c r="AH13" t="str">
        <f>HYPERLINK("http://www.ncbi.nlm.nih.gov/protein/121511918","gi|121511918")</f>
        <v>gi|121511918</v>
      </c>
      <c r="AI13">
        <v>53.5</v>
      </c>
      <c r="AJ13">
        <v>192</v>
      </c>
      <c r="AK13">
        <v>380</v>
      </c>
      <c r="AL13">
        <v>21</v>
      </c>
      <c r="AM13">
        <v>51</v>
      </c>
      <c r="AN13" t="s">
        <v>63</v>
      </c>
      <c r="AO13" s="4" t="str">
        <f>HYPERLINK("http://exon.niaid.nih.gov/transcriptome/C_felis/S2/links/SWISSP/Cf-246-SWISSP.txt","Prostatic acid phosphatase")</f>
        <v>Prostatic acid phosphatase</v>
      </c>
      <c r="AP13" t="str">
        <f>HYPERLINK("http://www.uniprot.org/uniprot/Q8CE08","3E-004")</f>
        <v>3E-004</v>
      </c>
      <c r="AQ13" t="s">
        <v>313</v>
      </c>
      <c r="AR13">
        <v>45.4</v>
      </c>
      <c r="AS13">
        <v>142</v>
      </c>
      <c r="AT13">
        <v>381</v>
      </c>
      <c r="AU13">
        <v>21</v>
      </c>
      <c r="AV13">
        <v>38</v>
      </c>
      <c r="AW13" t="s">
        <v>294</v>
      </c>
      <c r="AX13" s="4" t="s">
        <v>7</v>
      </c>
      <c r="AY13" t="s">
        <v>7</v>
      </c>
      <c r="AZ13" t="s">
        <v>7</v>
      </c>
      <c r="BA13" t="s">
        <v>7</v>
      </c>
      <c r="BB13" t="s">
        <v>7</v>
      </c>
      <c r="BC13" t="s">
        <v>7</v>
      </c>
      <c r="BD13" t="s">
        <v>7</v>
      </c>
      <c r="BE13" t="s">
        <v>7</v>
      </c>
      <c r="BF13" t="s">
        <v>7</v>
      </c>
      <c r="BG13" t="s">
        <v>7</v>
      </c>
      <c r="BH13" t="s">
        <v>7</v>
      </c>
      <c r="BI13" t="s">
        <v>7</v>
      </c>
      <c r="BJ13" t="s">
        <v>7</v>
      </c>
      <c r="BK13" t="s">
        <v>7</v>
      </c>
      <c r="BL13" t="s">
        <v>7</v>
      </c>
      <c r="BM13" t="s">
        <v>7</v>
      </c>
      <c r="BN13" t="s">
        <v>7</v>
      </c>
      <c r="BO13" t="s">
        <v>7</v>
      </c>
      <c r="BP13" t="s">
        <v>7</v>
      </c>
      <c r="BQ13" t="s">
        <v>7</v>
      </c>
      <c r="BR13" t="s">
        <v>7</v>
      </c>
      <c r="BS13" t="s">
        <v>7</v>
      </c>
      <c r="BT13" t="s">
        <v>7</v>
      </c>
      <c r="BU13" s="4" t="str">
        <f>HYPERLINK("http://exon.niaid.nih.gov/transcriptome/C_felis/S2/links/KOG/Cf-246-KOG.txt","Lysosomal &amp; prostatic acid phosphatases")</f>
        <v>Lysosomal &amp; prostatic acid phosphatases</v>
      </c>
      <c r="BV13" t="str">
        <f>HYPERLINK("http://www.ncbi.nlm.nih.gov/COG/grace/shokog.cgi?KOG3720","5E-008")</f>
        <v>5E-008</v>
      </c>
      <c r="BW13" t="s">
        <v>133</v>
      </c>
      <c r="BX13" t="str">
        <f>HYPERLINK("http://exon.niaid.nih.gov/transcriptome/C_felis/S2/links/KOG/Cf-246-KOG.txt","KOG3720")</f>
        <v>KOG3720</v>
      </c>
      <c r="BY13" s="4" t="str">
        <f>HYPERLINK("http://exon.niaid.nih.gov/transcriptome/C_felis/S2/links/CDD/Cf-246-CDD.txt","PRK15294")</f>
        <v>PRK15294</v>
      </c>
      <c r="BZ13" t="str">
        <f>HYPERLINK("http://www.ncbi.nlm.nih.gov/Structure/cdd/cddsrv.cgi?uid=PRK15294&amp;version=v4.0","0.073")</f>
        <v>0.073</v>
      </c>
      <c r="CA13" t="s">
        <v>314</v>
      </c>
      <c r="CB13" s="4" t="str">
        <f>HYPERLINK("http://exon.niaid.nih.gov/transcriptome/C_felis/S2/links/PFAM/Cf-246-PFAM.txt","MCR_alpha")</f>
        <v>MCR_alpha</v>
      </c>
      <c r="CC13" t="str">
        <f>HYPERLINK("http://pfam.sanger.ac.uk/family?acc=PF02249","0.78")</f>
        <v>0.78</v>
      </c>
      <c r="CD13" s="4" t="str">
        <f>HYPERLINK("http://exon.niaid.nih.gov/transcriptome/C_felis/S2/links/SMART/Cf-246-SMART.txt","Cupin_1")</f>
        <v>Cupin_1</v>
      </c>
      <c r="CE13" t="str">
        <f>HYPERLINK("http://smart.embl-heidelberg.de/smart/do_annotation.pl?DOMAIN=Cupin_1&amp;BLAST=DUMMY","1.2")</f>
        <v>1.2</v>
      </c>
      <c r="CF13" s="4" t="s">
        <v>7</v>
      </c>
      <c r="CG13" t="s">
        <v>7</v>
      </c>
      <c r="CH13" t="s">
        <v>7</v>
      </c>
      <c r="CI13" t="s">
        <v>7</v>
      </c>
      <c r="CJ13" t="s">
        <v>7</v>
      </c>
      <c r="CK13" s="7">
        <f t="shared" si="0"/>
        <v>2</v>
      </c>
      <c r="CL13" s="2">
        <f t="shared" si="1"/>
        <v>6</v>
      </c>
      <c r="CM13" s="7">
        <f t="shared" si="2"/>
        <v>2</v>
      </c>
      <c r="CN13" s="2">
        <f t="shared" si="3"/>
        <v>6</v>
      </c>
      <c r="CO13" s="7">
        <f t="shared" si="4"/>
        <v>2</v>
      </c>
      <c r="CP13" s="2">
        <f t="shared" si="5"/>
        <v>6</v>
      </c>
      <c r="CQ13" s="7">
        <f t="shared" si="6"/>
        <v>4</v>
      </c>
      <c r="CR13" s="2">
        <f t="shared" si="7"/>
        <v>6</v>
      </c>
      <c r="CS13" s="7">
        <f t="shared" si="8"/>
        <v>5</v>
      </c>
      <c r="CT13" s="2">
        <f t="shared" si="9"/>
        <v>6</v>
      </c>
      <c r="CU13" s="7">
        <v>64</v>
      </c>
      <c r="CV13" s="2">
        <v>1</v>
      </c>
      <c r="CW13" s="7">
        <v>63</v>
      </c>
      <c r="CX13" s="2">
        <v>1</v>
      </c>
      <c r="CY13" s="7">
        <v>66</v>
      </c>
      <c r="CZ13" s="2">
        <v>1</v>
      </c>
      <c r="DA13" s="7">
        <v>68</v>
      </c>
      <c r="DB13" s="2">
        <v>1</v>
      </c>
      <c r="DC13" s="7">
        <v>69</v>
      </c>
      <c r="DD13" s="2">
        <v>1</v>
      </c>
      <c r="DE13" s="7">
        <v>68</v>
      </c>
      <c r="DF13" s="2">
        <v>1</v>
      </c>
      <c r="DG13" s="7">
        <v>68</v>
      </c>
      <c r="DH13" s="2">
        <v>1</v>
      </c>
      <c r="DI13" s="7">
        <v>69</v>
      </c>
      <c r="DJ13" s="2">
        <v>1</v>
      </c>
      <c r="DK13" s="7">
        <v>69</v>
      </c>
      <c r="DL13" s="2">
        <v>1</v>
      </c>
      <c r="DM13" s="7">
        <v>71</v>
      </c>
      <c r="DN13" s="2">
        <v>1</v>
      </c>
      <c r="DO13" s="7">
        <v>72</v>
      </c>
      <c r="DP13" s="2">
        <v>1</v>
      </c>
      <c r="DQ13" s="7">
        <v>72</v>
      </c>
      <c r="DR13" s="2">
        <v>1</v>
      </c>
      <c r="DS13" s="7">
        <v>73</v>
      </c>
      <c r="DT13" s="2">
        <v>1</v>
      </c>
    </row>
    <row r="14" spans="1:124" x14ac:dyDescent="0.2">
      <c r="A14" t="str">
        <f>HYPERLINK("http://exon.niaid.nih.gov/transcriptome/C_felis/S2/links/pep/Cf-49-pep.txt","Cf-49")</f>
        <v>Cf-49</v>
      </c>
      <c r="B14" s="2">
        <v>1</v>
      </c>
      <c r="C14">
        <v>255</v>
      </c>
      <c r="D14" t="str">
        <f>HYPERLINK("http://exon.niaid.nih.gov/transcriptome/C_felis/S2/links/cds/Cf-49-cds.txt","Cf-49")</f>
        <v>Cf-49</v>
      </c>
      <c r="E14">
        <v>768</v>
      </c>
      <c r="F14" t="s">
        <v>504</v>
      </c>
      <c r="G14">
        <v>0</v>
      </c>
      <c r="I14" s="2" t="s">
        <v>11</v>
      </c>
      <c r="J14" s="2" t="s">
        <v>3</v>
      </c>
      <c r="K14" s="20" t="str">
        <f>HYPERLINK("http://exon.niaid.nih.gov/transcriptome/C_felis/S2/links/Sigp/Cf-49-SigP.txt","CYT")</f>
        <v>CYT</v>
      </c>
      <c r="L14" s="2" t="s">
        <v>7</v>
      </c>
      <c r="M14" s="2">
        <v>29.213999999999999</v>
      </c>
      <c r="N14" s="2">
        <v>9.44</v>
      </c>
      <c r="O14" s="2" t="s">
        <v>7</v>
      </c>
      <c r="P14" s="2" t="s">
        <v>7</v>
      </c>
      <c r="Q14" s="24" t="s">
        <v>554</v>
      </c>
      <c r="R14" s="20">
        <v>0</v>
      </c>
      <c r="S14" s="2" t="s">
        <v>7</v>
      </c>
      <c r="T14" s="2" t="s">
        <v>7</v>
      </c>
      <c r="U14" s="2" t="s">
        <v>7</v>
      </c>
      <c r="V14" s="2" t="s">
        <v>7</v>
      </c>
      <c r="W14" s="2" t="s">
        <v>7</v>
      </c>
      <c r="X14" s="20" t="str">
        <f>HYPERLINK("http://exon.niaid.nih.gov/transcriptome/C_felis/S2/links/netoglyc/CF-49-netoglyc.txt","1")</f>
        <v>1</v>
      </c>
      <c r="Y14" s="2">
        <v>11.8</v>
      </c>
      <c r="Z14" s="2">
        <v>5.5</v>
      </c>
      <c r="AA14" s="2">
        <v>5.0999999999999996</v>
      </c>
      <c r="AB14" t="s">
        <v>451</v>
      </c>
      <c r="AC14" t="s">
        <v>500</v>
      </c>
      <c r="AD14" t="s">
        <v>504</v>
      </c>
      <c r="AE14" s="2">
        <v>1</v>
      </c>
      <c r="AF14" s="4" t="str">
        <f>HYPERLINK("http://exon.niaid.nih.gov/transcriptome/C_felis/S2/links/NR/Cf-49-NR.txt","truncated secreted salivary acid phosphatase")</f>
        <v>truncated secreted salivary acid phosphatase</v>
      </c>
      <c r="AG14" t="str">
        <f>HYPERLINK("http://www.ncbi.nlm.nih.gov/sutils/blink.cgi?pid=121511916","1E-042")</f>
        <v>1E-042</v>
      </c>
      <c r="AH14" t="str">
        <f>HYPERLINK("http://www.ncbi.nlm.nih.gov/protein/121511916","gi|121511916")</f>
        <v>gi|121511916</v>
      </c>
      <c r="AI14">
        <v>177</v>
      </c>
      <c r="AJ14">
        <v>251</v>
      </c>
      <c r="AK14">
        <v>374</v>
      </c>
      <c r="AL14">
        <v>35</v>
      </c>
      <c r="AM14">
        <v>67</v>
      </c>
      <c r="AN14" t="s">
        <v>63</v>
      </c>
      <c r="AO14" s="4" t="str">
        <f>HYPERLINK("http://exon.niaid.nih.gov/transcriptome/C_felis/S2/links/SWISSP/Cf-49-SWISSP.txt","Lysosomal acid phosphatase")</f>
        <v>Lysosomal acid phosphatase</v>
      </c>
      <c r="AP14" t="str">
        <f>HYPERLINK("http://www.uniprot.org/uniprot/B1H1P9","7E-006")</f>
        <v>7E-006</v>
      </c>
      <c r="AQ14" t="s">
        <v>330</v>
      </c>
      <c r="AR14">
        <v>51.2</v>
      </c>
      <c r="AS14">
        <v>213</v>
      </c>
      <c r="AT14">
        <v>432</v>
      </c>
      <c r="AU14">
        <v>23</v>
      </c>
      <c r="AV14">
        <v>50</v>
      </c>
      <c r="AW14" t="s">
        <v>88</v>
      </c>
      <c r="AX14" s="4" t="s">
        <v>332</v>
      </c>
      <c r="AY14">
        <f>HYPERLINK("http://exon.niaid.nih.gov/transcriptome/C_felis/S2/links/GO/Cf-49-GO.txt",0.000007)</f>
        <v>6.9999999999999999E-6</v>
      </c>
      <c r="AZ14" t="str">
        <f>HYPERLINK("http://amigo.geneontology.org/cgi-bin/amigo/term_details?term=GO:0003993","GO:0003993")</f>
        <v>GO:0003993</v>
      </c>
      <c r="BA14" t="s">
        <v>333</v>
      </c>
      <c r="BB14" t="s">
        <v>334</v>
      </c>
      <c r="BC14" t="s">
        <v>335</v>
      </c>
      <c r="BD14" t="str">
        <f>HYPERLINK("http://www.genome.jp/dbget-bin/www_bfind_sub?mode=bfind&amp;max_hit=1000&amp;dbkey=kegg&amp;keywords=EC:3.1.3.2","EC:3.1.3.2")</f>
        <v>EC:3.1.3.2</v>
      </c>
      <c r="BF14">
        <v>6.9999999999999999E-6</v>
      </c>
      <c r="BG14" t="str">
        <f>HYPERLINK("http://amigo.geneontology.org/cgi-bin/amigo/term_details?term=GO:0005575","GO:0005575")</f>
        <v>GO:0005575</v>
      </c>
      <c r="BH14" t="s">
        <v>114</v>
      </c>
      <c r="BI14" t="s">
        <v>115</v>
      </c>
      <c r="BJ14" t="s">
        <v>116</v>
      </c>
      <c r="BK14" t="s">
        <v>7</v>
      </c>
      <c r="BM14">
        <v>6.9999999999999999E-6</v>
      </c>
      <c r="BN14" t="s">
        <v>7</v>
      </c>
      <c r="BO14" t="s">
        <v>7</v>
      </c>
      <c r="BP14" t="s">
        <v>7</v>
      </c>
      <c r="BQ14" t="s">
        <v>7</v>
      </c>
      <c r="BS14" t="s">
        <v>7</v>
      </c>
      <c r="BT14" t="s">
        <v>7</v>
      </c>
      <c r="BU14" s="4" t="str">
        <f>HYPERLINK("http://exon.niaid.nih.gov/transcriptome/C_felis/S2/links/KOG/Cf-49-KOG.txt","Lysosomal &amp; prostatic acid phosphatases")</f>
        <v>Lysosomal &amp; prostatic acid phosphatases</v>
      </c>
      <c r="BV14" t="str">
        <f>HYPERLINK("http://www.ncbi.nlm.nih.gov/COG/grace/shokog.cgi?KOG3720","1E-012")</f>
        <v>1E-012</v>
      </c>
      <c r="BW14" t="s">
        <v>133</v>
      </c>
      <c r="BX14" t="str">
        <f>HYPERLINK("http://exon.niaid.nih.gov/transcriptome/C_felis/S2/links/KOG/Cf-49-KOG.txt","KOG3720")</f>
        <v>KOG3720</v>
      </c>
      <c r="BY14" s="4" t="str">
        <f>HYPERLINK("http://exon.niaid.nih.gov/transcriptome/C_felis/S2/links/CDD/Cf-49-CDD.txt","HP_HAP_like")</f>
        <v>HP_HAP_like</v>
      </c>
      <c r="BZ14" t="str">
        <f>HYPERLINK("http://www.ncbi.nlm.nih.gov/Structure/cdd/cddsrv.cgi?uid=cd07061&amp;version=v4.0","0.028")</f>
        <v>0.028</v>
      </c>
      <c r="CA14" t="s">
        <v>336</v>
      </c>
      <c r="CB14" s="4" t="str">
        <f>HYPERLINK("http://exon.niaid.nih.gov/transcriptome/C_felis/S2/links/PFAM/Cf-49-PFAM.txt","Trp_oprn_chp")</f>
        <v>Trp_oprn_chp</v>
      </c>
      <c r="CC14" t="str">
        <f>HYPERLINK("http://pfam.sanger.ac.uk/family?acc=PF09534","0.74")</f>
        <v>0.74</v>
      </c>
      <c r="CD14" s="4" t="str">
        <f>HYPERLINK("http://exon.niaid.nih.gov/transcriptome/C_felis/S2/links/SMART/Cf-49-SMART.txt","B3")</f>
        <v>B3</v>
      </c>
      <c r="CE14" t="str">
        <f>HYPERLINK("http://smart.embl-heidelberg.de/smart/do_annotation.pl?DOMAIN=B3&amp;BLAST=DUMMY","1.4")</f>
        <v>1.4</v>
      </c>
      <c r="CF14" s="4" t="s">
        <v>7</v>
      </c>
      <c r="CG14" t="s">
        <v>7</v>
      </c>
      <c r="CH14" t="s">
        <v>7</v>
      </c>
      <c r="CI14" t="s">
        <v>7</v>
      </c>
      <c r="CJ14" t="s">
        <v>7</v>
      </c>
      <c r="CK14" s="7">
        <f t="shared" si="0"/>
        <v>2</v>
      </c>
      <c r="CL14" s="2">
        <f t="shared" si="1"/>
        <v>6</v>
      </c>
      <c r="CM14" s="7">
        <f t="shared" si="2"/>
        <v>2</v>
      </c>
      <c r="CN14" s="2">
        <f t="shared" si="3"/>
        <v>6</v>
      </c>
      <c r="CO14" s="7">
        <f t="shared" si="4"/>
        <v>2</v>
      </c>
      <c r="CP14" s="2">
        <f t="shared" si="5"/>
        <v>6</v>
      </c>
      <c r="CQ14" s="7">
        <f t="shared" si="6"/>
        <v>4</v>
      </c>
      <c r="CR14" s="2">
        <f t="shared" si="7"/>
        <v>6</v>
      </c>
      <c r="CS14" s="7">
        <f t="shared" si="8"/>
        <v>5</v>
      </c>
      <c r="CT14" s="2">
        <f t="shared" si="9"/>
        <v>6</v>
      </c>
      <c r="CU14" s="7">
        <f>HYPERLINK("http://exon.niaid.nih.gov/transcriptome/C_felis/S2/links/cluster/cf-pep35-50-Sim-CLU4.txt", 4)</f>
        <v>4</v>
      </c>
      <c r="CV14" s="2">
        <f>HYPERLINK("http://exon.niaid.nih.gov/transcriptome/C_felis/S2/links/cluster/cf-pep35-50-Sim-CLTL4.txt", 4)</f>
        <v>4</v>
      </c>
      <c r="CW14" s="7">
        <f>HYPERLINK("http://exon.niaid.nih.gov/transcriptome/C_felis/S2/links/cluster/cf-pep40-50-Sim-CLU4.txt", 4)</f>
        <v>4</v>
      </c>
      <c r="CX14" s="2">
        <f>HYPERLINK("http://exon.niaid.nih.gov/transcriptome/C_felis/S2/links/cluster/cf-pep40-50-Sim-CLTL4.txt", 4)</f>
        <v>4</v>
      </c>
      <c r="CY14" s="7">
        <f>HYPERLINK("http://exon.niaid.nih.gov/transcriptome/C_felis/S2/links/cluster/cf-pep45-50-Sim-CLU4.txt", 4)</f>
        <v>4</v>
      </c>
      <c r="CZ14" s="2">
        <f>HYPERLINK("http://exon.niaid.nih.gov/transcriptome/C_felis/S2/links/cluster/cf-pep45-50-Sim-CLTL4.txt", 4)</f>
        <v>4</v>
      </c>
      <c r="DA14" s="7">
        <f>HYPERLINK("http://exon.niaid.nih.gov/transcriptome/C_felis/S2/links/cluster/cf-pep50-50-Sim-CLU9.txt", 9)</f>
        <v>9</v>
      </c>
      <c r="DB14" s="2">
        <f>HYPERLINK("http://exon.niaid.nih.gov/transcriptome/C_felis/S2/links/cluster/cf-pep50-50-Sim-CLTL9.txt", 3)</f>
        <v>3</v>
      </c>
      <c r="DC14" s="7">
        <f>HYPERLINK("http://exon.niaid.nih.gov/transcriptome/C_felis/S2/links/cluster/cf-pep55-50-Sim-CLU8.txt", 8)</f>
        <v>8</v>
      </c>
      <c r="DD14" s="2">
        <f>HYPERLINK("http://exon.niaid.nih.gov/transcriptome/C_felis/S2/links/cluster/cf-pep55-50-Sim-CLTL8.txt", 3)</f>
        <v>3</v>
      </c>
      <c r="DE14" s="7">
        <f>HYPERLINK("http://exon.niaid.nih.gov/transcriptome/C_felis/S2/links/cluster/cf-pep60-50-Sim-CLU15.txt", 15)</f>
        <v>15</v>
      </c>
      <c r="DF14" s="2">
        <f>HYPERLINK("http://exon.niaid.nih.gov/transcriptome/C_felis/S2/links/cluster/cf-pep60-50-Sim-CLTL15.txt", 2)</f>
        <v>2</v>
      </c>
      <c r="DG14" s="7">
        <f>HYPERLINK("http://exon.niaid.nih.gov/transcriptome/C_felis/S2/links/cluster/cf-pep65-50-Sim-CLU12.txt", 12)</f>
        <v>12</v>
      </c>
      <c r="DH14" s="2">
        <f>HYPERLINK("http://exon.niaid.nih.gov/transcriptome/C_felis/S2/links/cluster/cf-pep65-50-Sim-CLTL12.txt", 2)</f>
        <v>2</v>
      </c>
      <c r="DI14" s="7">
        <f>HYPERLINK("http://exon.niaid.nih.gov/transcriptome/C_felis/S2/links/cluster/cf-pep70-50-Sim-CLU12.txt", 12)</f>
        <v>12</v>
      </c>
      <c r="DJ14" s="2">
        <f>HYPERLINK("http://exon.niaid.nih.gov/transcriptome/C_felis/S2/links/cluster/cf-pep70-50-Sim-CLTL12.txt", 2)</f>
        <v>2</v>
      </c>
      <c r="DK14" s="7">
        <f>HYPERLINK("http://exon.niaid.nih.gov/transcriptome/C_felis/S2/links/cluster/cf-pep75-50-Sim-CLU11.txt", 11)</f>
        <v>11</v>
      </c>
      <c r="DL14" s="2">
        <f>HYPERLINK("http://exon.niaid.nih.gov/transcriptome/C_felis/S2/links/cluster/cf-pep75-50-Sim-CLTL11.txt", 2)</f>
        <v>2</v>
      </c>
      <c r="DM14" s="7">
        <f>HYPERLINK("http://exon.niaid.nih.gov/transcriptome/C_felis/S2/links/cluster/cf-pep80-50-Sim-CLU10.txt", 10)</f>
        <v>10</v>
      </c>
      <c r="DN14" s="2">
        <f>HYPERLINK("http://exon.niaid.nih.gov/transcriptome/C_felis/S2/links/cluster/cf-pep80-50-Sim-CLTL10.txt", 2)</f>
        <v>2</v>
      </c>
      <c r="DO14" s="7">
        <v>126</v>
      </c>
      <c r="DP14" s="2">
        <v>1</v>
      </c>
      <c r="DQ14" s="7">
        <v>128</v>
      </c>
      <c r="DR14" s="2">
        <v>1</v>
      </c>
      <c r="DS14" s="7">
        <v>130</v>
      </c>
      <c r="DT14" s="2">
        <v>1</v>
      </c>
    </row>
    <row r="15" spans="1:124" s="3" customFormat="1" x14ac:dyDescent="0.2">
      <c r="A15" s="14" t="s">
        <v>521</v>
      </c>
      <c r="K15" s="1" t="s">
        <v>7</v>
      </c>
      <c r="L15" s="3" t="s">
        <v>7</v>
      </c>
      <c r="M15" s="3" t="s">
        <v>7</v>
      </c>
      <c r="N15" s="3" t="s">
        <v>7</v>
      </c>
      <c r="O15" s="3" t="s">
        <v>7</v>
      </c>
      <c r="P15" s="3" t="s">
        <v>7</v>
      </c>
      <c r="Q15" s="23" t="s">
        <v>7</v>
      </c>
      <c r="R15" s="1" t="s">
        <v>7</v>
      </c>
      <c r="S15" s="3" t="s">
        <v>7</v>
      </c>
      <c r="T15" s="3" t="s">
        <v>7</v>
      </c>
      <c r="U15" s="3" t="s">
        <v>7</v>
      </c>
      <c r="V15" s="3" t="s">
        <v>7</v>
      </c>
      <c r="W15" s="3" t="s">
        <v>7</v>
      </c>
      <c r="X15" s="1" t="s">
        <v>7</v>
      </c>
      <c r="Y15" s="3" t="s">
        <v>7</v>
      </c>
      <c r="Z15" s="3" t="s">
        <v>7</v>
      </c>
      <c r="AA15" s="3" t="s">
        <v>7</v>
      </c>
      <c r="AF15" s="1"/>
      <c r="AO15" s="1"/>
      <c r="AX15" s="1"/>
      <c r="BU15" s="1"/>
      <c r="BY15" s="1"/>
      <c r="CB15" s="1"/>
      <c r="CD15" s="1"/>
      <c r="CF15" s="1"/>
      <c r="CK15" s="6"/>
      <c r="CM15" s="6"/>
      <c r="CO15" s="6"/>
      <c r="CQ15" s="6"/>
      <c r="CS15" s="6"/>
      <c r="CU15" s="6"/>
      <c r="CW15" s="6"/>
      <c r="CY15" s="6"/>
      <c r="DA15" s="6"/>
      <c r="DC15" s="6"/>
      <c r="DE15" s="6"/>
      <c r="DG15" s="6"/>
      <c r="DI15" s="6"/>
      <c r="DK15" s="6"/>
      <c r="DM15" s="6"/>
      <c r="DO15" s="6"/>
      <c r="DQ15" s="6"/>
      <c r="DS15" s="6"/>
    </row>
    <row r="16" spans="1:124" x14ac:dyDescent="0.2">
      <c r="A16" t="str">
        <f>HYPERLINK("http://exon.niaid.nih.gov/transcriptome/C_felis/S2/links/pep/Cf-51-pep.txt","Cf-51")</f>
        <v>Cf-51</v>
      </c>
      <c r="B16" s="2">
        <v>3</v>
      </c>
      <c r="C16">
        <v>209</v>
      </c>
      <c r="D16" t="str">
        <f>HYPERLINK("http://exon.niaid.nih.gov/transcriptome/C_felis/S2/links/cds/Cf-51-cds.txt","Cf-51")</f>
        <v>Cf-51</v>
      </c>
      <c r="E16">
        <v>630</v>
      </c>
      <c r="F16" t="s">
        <v>507</v>
      </c>
      <c r="G16">
        <v>0</v>
      </c>
      <c r="I16" s="2" t="s">
        <v>10</v>
      </c>
      <c r="J16" s="2" t="s">
        <v>3</v>
      </c>
      <c r="K16" s="20" t="str">
        <f>HYPERLINK("http://exon.niaid.nih.gov/transcriptome/C_felis/S2/links/Sigp/Cf-51-SigP.txt","CYT")</f>
        <v>CYT</v>
      </c>
      <c r="L16" s="2" t="s">
        <v>7</v>
      </c>
      <c r="M16" s="2">
        <v>23.693999999999999</v>
      </c>
      <c r="N16" s="2">
        <v>9.44</v>
      </c>
      <c r="O16" s="2" t="s">
        <v>7</v>
      </c>
      <c r="P16" s="2" t="s">
        <v>7</v>
      </c>
      <c r="Q16" s="24" t="s">
        <v>547</v>
      </c>
      <c r="R16" s="20">
        <v>0</v>
      </c>
      <c r="S16" s="2" t="s">
        <v>7</v>
      </c>
      <c r="T16" s="2" t="s">
        <v>7</v>
      </c>
      <c r="U16" s="2" t="s">
        <v>7</v>
      </c>
      <c r="V16" s="2" t="s">
        <v>7</v>
      </c>
      <c r="W16" s="2" t="s">
        <v>7</v>
      </c>
      <c r="X16" s="20" t="str">
        <f>HYPERLINK("http://exon.niaid.nih.gov/transcriptome/C_felis/S2/links/netoglyc/CF-51-netoglyc.txt","0")</f>
        <v>0</v>
      </c>
      <c r="Y16" s="2">
        <v>12</v>
      </c>
      <c r="Z16" s="2">
        <v>7.2</v>
      </c>
      <c r="AA16" s="2">
        <v>4.3</v>
      </c>
      <c r="AB16" t="s">
        <v>506</v>
      </c>
      <c r="AC16" t="s">
        <v>7</v>
      </c>
      <c r="AD16" t="s">
        <v>507</v>
      </c>
      <c r="AE16" s="2">
        <v>3</v>
      </c>
      <c r="AF16" s="4" t="str">
        <f>HYPERLINK("http://exon.niaid.nih.gov/transcriptome/C_felis/S2/links/NR/Cf-51-NR.txt","salivary allergen 2")</f>
        <v>salivary allergen 2</v>
      </c>
      <c r="AG16" t="str">
        <f>HYPERLINK("http://www.ncbi.nlm.nih.gov/sutils/blink.cgi?pid=7638032","8E-074")</f>
        <v>8E-074</v>
      </c>
      <c r="AH16" t="str">
        <f>HYPERLINK("http://www.ncbi.nlm.nih.gov/protein/7638032","gi|7638032")</f>
        <v>gi|7638032</v>
      </c>
      <c r="AI16">
        <v>280</v>
      </c>
      <c r="AJ16">
        <v>195</v>
      </c>
      <c r="AK16">
        <v>264</v>
      </c>
      <c r="AL16">
        <v>69</v>
      </c>
      <c r="AM16">
        <v>74</v>
      </c>
      <c r="AN16" t="s">
        <v>85</v>
      </c>
      <c r="AO16" s="4" t="str">
        <f>HYPERLINK("http://exon.niaid.nih.gov/transcriptome/C_felis/S2/links/SWISSP/Cf-51-SWISSP.txt","Venom allergen 5")</f>
        <v>Venom allergen 5</v>
      </c>
      <c r="AP16" t="str">
        <f>HYPERLINK("http://www.uniprot.org/uniprot/A9YME1","4E-020")</f>
        <v>4E-020</v>
      </c>
      <c r="AQ16" t="s">
        <v>342</v>
      </c>
      <c r="AR16">
        <v>97.8</v>
      </c>
      <c r="AS16">
        <v>158</v>
      </c>
      <c r="AT16">
        <v>232</v>
      </c>
      <c r="AU16">
        <v>36</v>
      </c>
      <c r="AV16">
        <v>69</v>
      </c>
      <c r="AW16" t="s">
        <v>343</v>
      </c>
      <c r="AX16" s="4" t="s">
        <v>344</v>
      </c>
      <c r="AY16">
        <f>HYPERLINK("http://exon.niaid.nih.gov/transcriptome/C_felis/S2/links/GO/Cf-51-GO.txt",0.000000000000000004)</f>
        <v>4.0000000000000003E-18</v>
      </c>
      <c r="AZ16" t="str">
        <f>HYPERLINK("http://amigo.geneontology.org/cgi-bin/amigo/term_details?term=GO:0003674","GO:0003674")</f>
        <v>GO:0003674</v>
      </c>
      <c r="BA16" t="s">
        <v>111</v>
      </c>
      <c r="BB16" t="s">
        <v>112</v>
      </c>
      <c r="BC16" t="s">
        <v>113</v>
      </c>
      <c r="BD16" t="s">
        <v>7</v>
      </c>
      <c r="BF16" s="5">
        <v>4.0000000000000003E-18</v>
      </c>
      <c r="BG16" t="str">
        <f>HYPERLINK("http://amigo.geneontology.org/cgi-bin/amigo/term_details?term=GO:0005576","GO:0005576")</f>
        <v>GO:0005576</v>
      </c>
      <c r="BH16" t="s">
        <v>204</v>
      </c>
      <c r="BI16" t="s">
        <v>205</v>
      </c>
      <c r="BJ16" t="s">
        <v>206</v>
      </c>
      <c r="BK16" t="s">
        <v>7</v>
      </c>
      <c r="BM16" s="5">
        <v>4.0000000000000003E-18</v>
      </c>
      <c r="BN16" t="str">
        <f>HYPERLINK("http://amigo.geneontology.org/cgi-bin/amigo/term_details?term=GO:0008150","GO:0008150")</f>
        <v>GO:0008150</v>
      </c>
      <c r="BO16" t="s">
        <v>117</v>
      </c>
      <c r="BP16" t="s">
        <v>118</v>
      </c>
      <c r="BQ16" t="s">
        <v>119</v>
      </c>
      <c r="BR16" t="s">
        <v>7</v>
      </c>
      <c r="BT16" s="5">
        <v>4.0000000000000003E-18</v>
      </c>
      <c r="BU16" s="4" t="str">
        <f>HYPERLINK("http://exon.niaid.nih.gov/transcriptome/C_felis/S2/links/KOG/Cf-51-KOG.txt","Defense-related protein containing SCP domain")</f>
        <v>Defense-related protein containing SCP domain</v>
      </c>
      <c r="BV16" t="str">
        <f>HYPERLINK("http://www.ncbi.nlm.nih.gov/COG/grace/shokog.cgi?KOG3017","4E-024")</f>
        <v>4E-024</v>
      </c>
      <c r="BW16" t="s">
        <v>73</v>
      </c>
      <c r="BX16" t="str">
        <f>HYPERLINK("http://exon.niaid.nih.gov/transcriptome/C_felis/S2/links/KOG/Cf-51-KOG.txt","KOG3017")</f>
        <v>KOG3017</v>
      </c>
      <c r="BY16" s="4" t="str">
        <f>HYPERLINK("http://exon.niaid.nih.gov/transcriptome/C_felis/S2/links/CDD/Cf-51-CDD.txt","SCP_euk")</f>
        <v>SCP_euk</v>
      </c>
      <c r="BZ16" t="str">
        <f>HYPERLINK("http://www.ncbi.nlm.nih.gov/Structure/cdd/cddsrv.cgi?uid=cd05380&amp;version=v4.0","2E-028")</f>
        <v>2E-028</v>
      </c>
      <c r="CA16" t="s">
        <v>345</v>
      </c>
      <c r="CB16" s="4" t="str">
        <f>HYPERLINK("http://exon.niaid.nih.gov/transcriptome/C_felis/S2/links/PFAM/Cf-51-PFAM.txt","CAP")</f>
        <v>CAP</v>
      </c>
      <c r="CC16" t="str">
        <f>HYPERLINK("http://pfam.sanger.ac.uk/family?acc=PF00188","6E-015")</f>
        <v>6E-015</v>
      </c>
      <c r="CD16" s="4" t="str">
        <f>HYPERLINK("http://exon.niaid.nih.gov/transcriptome/C_felis/S2/links/SMART/Cf-51-SMART.txt","SCP")</f>
        <v>SCP</v>
      </c>
      <c r="CE16" t="str">
        <f>HYPERLINK("http://smart.embl-heidelberg.de/smart/do_annotation.pl?DOMAIN=SCP&amp;BLAST=DUMMY","2E-027")</f>
        <v>2E-027</v>
      </c>
      <c r="CF16" s="4" t="s">
        <v>7</v>
      </c>
      <c r="CG16" t="s">
        <v>7</v>
      </c>
      <c r="CH16" t="s">
        <v>7</v>
      </c>
      <c r="CI16" t="s">
        <v>7</v>
      </c>
      <c r="CJ16" t="s">
        <v>7</v>
      </c>
      <c r="CK16" s="7">
        <f>HYPERLINK("http://exon.niaid.nih.gov/transcriptome/C_felis/S2/links/cluster/cf-pep95-2-Id-CLU16.txt", 16)</f>
        <v>16</v>
      </c>
      <c r="CL16" s="2">
        <f>HYPERLINK("http://exon.niaid.nih.gov/transcriptome/C_felis/S2/links/cluster/cf-pep95-2-Id-CLTL16.txt", 2)</f>
        <v>2</v>
      </c>
      <c r="CM16" s="7">
        <f>HYPERLINK("http://exon.niaid.nih.gov/transcriptome/C_felis/S2/links/cluster/cf-pep100-3-Id-CLU16.txt", 16)</f>
        <v>16</v>
      </c>
      <c r="CN16" s="2">
        <f>HYPERLINK("http://exon.niaid.nih.gov/transcriptome/C_felis/S2/links/cluster/cf-pep100-3-Id-CLTL16.txt", 2)</f>
        <v>2</v>
      </c>
      <c r="CO16" s="7">
        <f>HYPERLINK("http://exon.niaid.nih.gov/transcriptome/C_felis/S2/links/cluster/cf-pep100-4-Id-CLU16.txt", 16)</f>
        <v>16</v>
      </c>
      <c r="CP16" s="2">
        <f>HYPERLINK("http://exon.niaid.nih.gov/transcriptome/C_felis/S2/links/cluster/cf-pep100-4-Id-CLTL16.txt", 2)</f>
        <v>2</v>
      </c>
      <c r="CQ16" s="7">
        <f>HYPERLINK("http://exon.niaid.nih.gov/transcriptome/C_felis/S2/links/cluster/cf-pep25-50-Sim-CLU18.txt", 18)</f>
        <v>18</v>
      </c>
      <c r="CR16" s="2">
        <f>HYPERLINK("http://exon.niaid.nih.gov/transcriptome/C_felis/S2/links/cluster/cf-pep25-50-Sim-CLTL18.txt", 2)</f>
        <v>2</v>
      </c>
      <c r="CS16" s="7">
        <f>HYPERLINK("http://exon.niaid.nih.gov/transcriptome/C_felis/S2/links/cluster/cf-pep30-50-Sim-CLU16.txt", 16)</f>
        <v>16</v>
      </c>
      <c r="CT16" s="2">
        <f>HYPERLINK("http://exon.niaid.nih.gov/transcriptome/C_felis/S2/links/cluster/cf-pep30-50-Sim-CLTL16.txt", 2)</f>
        <v>2</v>
      </c>
      <c r="CU16" s="7">
        <f>HYPERLINK("http://exon.niaid.nih.gov/transcriptome/C_felis/S2/links/cluster/cf-pep35-50-Sim-CLU18.txt", 18)</f>
        <v>18</v>
      </c>
      <c r="CV16" s="2">
        <f>HYPERLINK("http://exon.niaid.nih.gov/transcriptome/C_felis/S2/links/cluster/cf-pep35-50-Sim-CLTL18.txt", 2)</f>
        <v>2</v>
      </c>
      <c r="CW16" s="7">
        <f>HYPERLINK("http://exon.niaid.nih.gov/transcriptome/C_felis/S2/links/cluster/cf-pep40-50-Sim-CLU15.txt", 15)</f>
        <v>15</v>
      </c>
      <c r="CX16" s="2">
        <f>HYPERLINK("http://exon.niaid.nih.gov/transcriptome/C_felis/S2/links/cluster/cf-pep40-50-Sim-CLTL15.txt", 2)</f>
        <v>2</v>
      </c>
      <c r="CY16" s="7">
        <f>HYPERLINK("http://exon.niaid.nih.gov/transcriptome/C_felis/S2/links/cluster/cf-pep45-50-Sim-CLU17.txt", 17)</f>
        <v>17</v>
      </c>
      <c r="CZ16" s="2">
        <f>HYPERLINK("http://exon.niaid.nih.gov/transcriptome/C_felis/S2/links/cluster/cf-pep45-50-Sim-CLTL17.txt", 2)</f>
        <v>2</v>
      </c>
      <c r="DA16" s="7">
        <f>HYPERLINK("http://exon.niaid.nih.gov/transcriptome/C_felis/S2/links/cluster/cf-pep50-50-Sim-CLU18.txt", 18)</f>
        <v>18</v>
      </c>
      <c r="DB16" s="2">
        <f>HYPERLINK("http://exon.niaid.nih.gov/transcriptome/C_felis/S2/links/cluster/cf-pep50-50-Sim-CLTL18.txt", 2)</f>
        <v>2</v>
      </c>
      <c r="DC16" s="7">
        <f>HYPERLINK("http://exon.niaid.nih.gov/transcriptome/C_felis/S2/links/cluster/cf-pep55-50-Sim-CLU17.txt", 17)</f>
        <v>17</v>
      </c>
      <c r="DD16" s="2">
        <f>HYPERLINK("http://exon.niaid.nih.gov/transcriptome/C_felis/S2/links/cluster/cf-pep55-50-Sim-CLTL17.txt", 2)</f>
        <v>2</v>
      </c>
      <c r="DE16" s="7">
        <f>HYPERLINK("http://exon.niaid.nih.gov/transcriptome/C_felis/S2/links/cluster/cf-pep60-50-Sim-CLU16.txt", 16)</f>
        <v>16</v>
      </c>
      <c r="DF16" s="2">
        <f>HYPERLINK("http://exon.niaid.nih.gov/transcriptome/C_felis/S2/links/cluster/cf-pep60-50-Sim-CLTL16.txt", 2)</f>
        <v>2</v>
      </c>
      <c r="DG16" s="7">
        <f>HYPERLINK("http://exon.niaid.nih.gov/transcriptome/C_felis/S2/links/cluster/cf-pep65-50-Sim-CLU13.txt", 13)</f>
        <v>13</v>
      </c>
      <c r="DH16" s="2">
        <f>HYPERLINK("http://exon.niaid.nih.gov/transcriptome/C_felis/S2/links/cluster/cf-pep65-50-Sim-CLTL13.txt", 2)</f>
        <v>2</v>
      </c>
      <c r="DI16" s="7">
        <f>HYPERLINK("http://exon.niaid.nih.gov/transcriptome/C_felis/S2/links/cluster/cf-pep70-50-Sim-CLU13.txt", 13)</f>
        <v>13</v>
      </c>
      <c r="DJ16" s="2">
        <f>HYPERLINK("http://exon.niaid.nih.gov/transcriptome/C_felis/S2/links/cluster/cf-pep70-50-Sim-CLTL13.txt", 2)</f>
        <v>2</v>
      </c>
      <c r="DK16" s="7">
        <v>127</v>
      </c>
      <c r="DL16" s="2">
        <v>1</v>
      </c>
      <c r="DM16" s="7">
        <v>129</v>
      </c>
      <c r="DN16" s="2">
        <v>1</v>
      </c>
      <c r="DO16" s="7">
        <v>132</v>
      </c>
      <c r="DP16" s="2">
        <v>1</v>
      </c>
      <c r="DQ16" s="7">
        <v>134</v>
      </c>
      <c r="DR16" s="2">
        <v>1</v>
      </c>
      <c r="DS16" s="7">
        <v>136</v>
      </c>
      <c r="DT16" s="2">
        <v>1</v>
      </c>
    </row>
    <row r="17" spans="1:124" x14ac:dyDescent="0.2">
      <c r="A17" t="str">
        <f>HYPERLINK("http://exon.niaid.nih.gov/transcriptome/C_felis/S2/links/pep/Cf-52-pep.txt","Cf-52")</f>
        <v>Cf-52</v>
      </c>
      <c r="B17" s="2">
        <v>9</v>
      </c>
      <c r="C17">
        <v>215</v>
      </c>
      <c r="D17" t="str">
        <f>HYPERLINK("http://exon.niaid.nih.gov/transcriptome/C_felis/S2/links/cds/Cf-52-cds.txt","Cf-52")</f>
        <v>Cf-52</v>
      </c>
      <c r="E17">
        <v>648</v>
      </c>
      <c r="F17" t="s">
        <v>507</v>
      </c>
      <c r="G17">
        <v>0</v>
      </c>
      <c r="I17" s="2" t="s">
        <v>4</v>
      </c>
      <c r="J17" s="2" t="s">
        <v>3</v>
      </c>
      <c r="K17" s="20" t="str">
        <f>HYPERLINK("http://exon.niaid.nih.gov/transcriptome/C_felis/S2/links/Sigp/Cf-52-SigP.txt","CYT")</f>
        <v>CYT</v>
      </c>
      <c r="L17" s="2" t="s">
        <v>7</v>
      </c>
      <c r="M17" s="2">
        <v>24.082999999999998</v>
      </c>
      <c r="N17" s="2">
        <v>9.8800000000000008</v>
      </c>
      <c r="O17" s="2" t="s">
        <v>7</v>
      </c>
      <c r="P17" s="2" t="s">
        <v>7</v>
      </c>
      <c r="Q17" s="24" t="s">
        <v>555</v>
      </c>
      <c r="R17" s="20">
        <v>0</v>
      </c>
      <c r="S17" s="2" t="s">
        <v>7</v>
      </c>
      <c r="T17" s="2" t="s">
        <v>7</v>
      </c>
      <c r="U17" s="2" t="s">
        <v>7</v>
      </c>
      <c r="V17" s="2" t="s">
        <v>7</v>
      </c>
      <c r="W17" s="2" t="s">
        <v>7</v>
      </c>
      <c r="X17" s="20" t="str">
        <f>HYPERLINK("http://exon.niaid.nih.gov/transcriptome/C_felis/S2/links/netoglyc/CF-52-netoglyc.txt","0")</f>
        <v>0</v>
      </c>
      <c r="Y17" s="2">
        <v>12.1</v>
      </c>
      <c r="Z17" s="2">
        <v>7.4</v>
      </c>
      <c r="AA17" s="2">
        <v>4.2</v>
      </c>
      <c r="AB17" t="s">
        <v>506</v>
      </c>
      <c r="AC17" t="s">
        <v>7</v>
      </c>
      <c r="AD17" t="s">
        <v>507</v>
      </c>
      <c r="AE17" s="2">
        <v>9</v>
      </c>
      <c r="AF17" s="4" t="str">
        <f>HYPERLINK("http://exon.niaid.nih.gov/transcriptome/C_felis/S2/links/NR/Cf-52-NR.txt","salivary allergen 2")</f>
        <v>salivary allergen 2</v>
      </c>
      <c r="AG17" t="str">
        <f>HYPERLINK("http://www.ncbi.nlm.nih.gov/sutils/blink.cgi?pid=7638032","1E-120")</f>
        <v>1E-120</v>
      </c>
      <c r="AH17" t="str">
        <f>HYPERLINK("http://www.ncbi.nlm.nih.gov/protein/7638032","gi|7638032")</f>
        <v>gi|7638032</v>
      </c>
      <c r="AI17">
        <v>434</v>
      </c>
      <c r="AJ17">
        <v>212</v>
      </c>
      <c r="AK17">
        <v>264</v>
      </c>
      <c r="AL17">
        <v>97</v>
      </c>
      <c r="AM17">
        <v>81</v>
      </c>
      <c r="AN17" t="s">
        <v>85</v>
      </c>
      <c r="AO17" s="4" t="str">
        <f>HYPERLINK("http://exon.niaid.nih.gov/transcriptome/C_felis/S2/links/SWISSP/Cf-52-SWISSP.txt","Venom allergen 3")</f>
        <v>Venom allergen 3</v>
      </c>
      <c r="AP17" t="str">
        <f>HYPERLINK("http://www.uniprot.org/uniprot/P35779","2E-021")</f>
        <v>2E-021</v>
      </c>
      <c r="AQ17" t="s">
        <v>346</v>
      </c>
      <c r="AR17">
        <v>102</v>
      </c>
      <c r="AS17">
        <v>180</v>
      </c>
      <c r="AT17">
        <v>211</v>
      </c>
      <c r="AU17">
        <v>34</v>
      </c>
      <c r="AV17">
        <v>86</v>
      </c>
      <c r="AW17" t="s">
        <v>347</v>
      </c>
      <c r="AX17" s="4" t="s">
        <v>344</v>
      </c>
      <c r="AY17">
        <f>HYPERLINK("http://exon.niaid.nih.gov/transcriptome/C_felis/S2/links/GO/Cf-52-GO.txt",0.00000000000000005)</f>
        <v>4.9999999999999999E-17</v>
      </c>
      <c r="AZ17" t="str">
        <f>HYPERLINK("http://amigo.geneontology.org/cgi-bin/amigo/term_details?term=GO:0003674","GO:0003674")</f>
        <v>GO:0003674</v>
      </c>
      <c r="BA17" t="s">
        <v>111</v>
      </c>
      <c r="BB17" t="s">
        <v>112</v>
      </c>
      <c r="BC17" t="s">
        <v>113</v>
      </c>
      <c r="BD17" t="s">
        <v>7</v>
      </c>
      <c r="BF17" s="5">
        <v>4.9999999999999999E-17</v>
      </c>
      <c r="BG17" t="str">
        <f>HYPERLINK("http://amigo.geneontology.org/cgi-bin/amigo/term_details?term=GO:0005576","GO:0005576")</f>
        <v>GO:0005576</v>
      </c>
      <c r="BH17" t="s">
        <v>204</v>
      </c>
      <c r="BI17" t="s">
        <v>205</v>
      </c>
      <c r="BJ17" t="s">
        <v>206</v>
      </c>
      <c r="BK17" t="s">
        <v>7</v>
      </c>
      <c r="BM17" s="5">
        <v>4.9999999999999999E-17</v>
      </c>
      <c r="BN17" t="str">
        <f>HYPERLINK("http://amigo.geneontology.org/cgi-bin/amigo/term_details?term=GO:0008150","GO:0008150")</f>
        <v>GO:0008150</v>
      </c>
      <c r="BO17" t="s">
        <v>117</v>
      </c>
      <c r="BP17" t="s">
        <v>118</v>
      </c>
      <c r="BQ17" t="s">
        <v>119</v>
      </c>
      <c r="BR17" t="s">
        <v>7</v>
      </c>
      <c r="BT17" s="5">
        <v>4.9999999999999999E-17</v>
      </c>
      <c r="BU17" s="4" t="str">
        <f>HYPERLINK("http://exon.niaid.nih.gov/transcriptome/C_felis/S2/links/KOG/Cf-52-KOG.txt","Defense-related protein containing SCP domain")</f>
        <v>Defense-related protein containing SCP domain</v>
      </c>
      <c r="BV17" t="str">
        <f>HYPERLINK("http://www.ncbi.nlm.nih.gov/COG/grace/shokog.cgi?KOG3017","5E-026")</f>
        <v>5E-026</v>
      </c>
      <c r="BW17" t="s">
        <v>73</v>
      </c>
      <c r="BX17" t="str">
        <f>HYPERLINK("http://exon.niaid.nih.gov/transcriptome/C_felis/S2/links/KOG/Cf-52-KOG.txt","KOG3017")</f>
        <v>KOG3017</v>
      </c>
      <c r="BY17" s="4" t="str">
        <f>HYPERLINK("http://exon.niaid.nih.gov/transcriptome/C_felis/S2/links/CDD/Cf-52-CDD.txt","SCP_euk")</f>
        <v>SCP_euk</v>
      </c>
      <c r="BZ17" t="str">
        <f>HYPERLINK("http://www.ncbi.nlm.nih.gov/Structure/cdd/cddsrv.cgi?uid=cd05380&amp;version=v4.0","4E-028")</f>
        <v>4E-028</v>
      </c>
      <c r="CA17" t="s">
        <v>348</v>
      </c>
      <c r="CB17" s="4" t="str">
        <f>HYPERLINK("http://exon.niaid.nih.gov/transcriptome/C_felis/S2/links/PFAM/Cf-52-PFAM.txt","CAP")</f>
        <v>CAP</v>
      </c>
      <c r="CC17" t="str">
        <f>HYPERLINK("http://pfam.sanger.ac.uk/family?acc=PF00188","1E-014")</f>
        <v>1E-014</v>
      </c>
      <c r="CD17" s="4" t="str">
        <f>HYPERLINK("http://exon.niaid.nih.gov/transcriptome/C_felis/S2/links/SMART/Cf-52-SMART.txt","SCP")</f>
        <v>SCP</v>
      </c>
      <c r="CE17" t="str">
        <f>HYPERLINK("http://smart.embl-heidelberg.de/smart/do_annotation.pl?DOMAIN=SCP&amp;BLAST=DUMMY","1E-026")</f>
        <v>1E-026</v>
      </c>
      <c r="CF17" s="4" t="s">
        <v>7</v>
      </c>
      <c r="CG17" t="s">
        <v>7</v>
      </c>
      <c r="CH17" t="s">
        <v>7</v>
      </c>
      <c r="CI17" t="s">
        <v>7</v>
      </c>
      <c r="CJ17" t="s">
        <v>7</v>
      </c>
      <c r="CK17" s="7">
        <f>HYPERLINK("http://exon.niaid.nih.gov/transcriptome/C_felis/S2/links/cluster/cf-pep95-2-Id-CLU16.txt", 16)</f>
        <v>16</v>
      </c>
      <c r="CL17" s="2">
        <f>HYPERLINK("http://exon.niaid.nih.gov/transcriptome/C_felis/S2/links/cluster/cf-pep95-2-Id-CLTL16.txt", 2)</f>
        <v>2</v>
      </c>
      <c r="CM17" s="7">
        <f>HYPERLINK("http://exon.niaid.nih.gov/transcriptome/C_felis/S2/links/cluster/cf-pep100-3-Id-CLU16.txt", 16)</f>
        <v>16</v>
      </c>
      <c r="CN17" s="2">
        <f>HYPERLINK("http://exon.niaid.nih.gov/transcriptome/C_felis/S2/links/cluster/cf-pep100-3-Id-CLTL16.txt", 2)</f>
        <v>2</v>
      </c>
      <c r="CO17" s="7">
        <f>HYPERLINK("http://exon.niaid.nih.gov/transcriptome/C_felis/S2/links/cluster/cf-pep100-4-Id-CLU16.txt", 16)</f>
        <v>16</v>
      </c>
      <c r="CP17" s="2">
        <f>HYPERLINK("http://exon.niaid.nih.gov/transcriptome/C_felis/S2/links/cluster/cf-pep100-4-Id-CLTL16.txt", 2)</f>
        <v>2</v>
      </c>
      <c r="CQ17" s="7">
        <f>HYPERLINK("http://exon.niaid.nih.gov/transcriptome/C_felis/S2/links/cluster/cf-pep25-50-Sim-CLU18.txt", 18)</f>
        <v>18</v>
      </c>
      <c r="CR17" s="2">
        <f>HYPERLINK("http://exon.niaid.nih.gov/transcriptome/C_felis/S2/links/cluster/cf-pep25-50-Sim-CLTL18.txt", 2)</f>
        <v>2</v>
      </c>
      <c r="CS17" s="7">
        <f>HYPERLINK("http://exon.niaid.nih.gov/transcriptome/C_felis/S2/links/cluster/cf-pep30-50-Sim-CLU16.txt", 16)</f>
        <v>16</v>
      </c>
      <c r="CT17" s="2">
        <f>HYPERLINK("http://exon.niaid.nih.gov/transcriptome/C_felis/S2/links/cluster/cf-pep30-50-Sim-CLTL16.txt", 2)</f>
        <v>2</v>
      </c>
      <c r="CU17" s="7">
        <f>HYPERLINK("http://exon.niaid.nih.gov/transcriptome/C_felis/S2/links/cluster/cf-pep35-50-Sim-CLU18.txt", 18)</f>
        <v>18</v>
      </c>
      <c r="CV17" s="2">
        <f>HYPERLINK("http://exon.niaid.nih.gov/transcriptome/C_felis/S2/links/cluster/cf-pep35-50-Sim-CLTL18.txt", 2)</f>
        <v>2</v>
      </c>
      <c r="CW17" s="7">
        <f>HYPERLINK("http://exon.niaid.nih.gov/transcriptome/C_felis/S2/links/cluster/cf-pep40-50-Sim-CLU15.txt", 15)</f>
        <v>15</v>
      </c>
      <c r="CX17" s="2">
        <f>HYPERLINK("http://exon.niaid.nih.gov/transcriptome/C_felis/S2/links/cluster/cf-pep40-50-Sim-CLTL15.txt", 2)</f>
        <v>2</v>
      </c>
      <c r="CY17" s="7">
        <f>HYPERLINK("http://exon.niaid.nih.gov/transcriptome/C_felis/S2/links/cluster/cf-pep45-50-Sim-CLU17.txt", 17)</f>
        <v>17</v>
      </c>
      <c r="CZ17" s="2">
        <f>HYPERLINK("http://exon.niaid.nih.gov/transcriptome/C_felis/S2/links/cluster/cf-pep45-50-Sim-CLTL17.txt", 2)</f>
        <v>2</v>
      </c>
      <c r="DA17" s="7">
        <f>HYPERLINK("http://exon.niaid.nih.gov/transcriptome/C_felis/S2/links/cluster/cf-pep50-50-Sim-CLU18.txt", 18)</f>
        <v>18</v>
      </c>
      <c r="DB17" s="2">
        <f>HYPERLINK("http://exon.niaid.nih.gov/transcriptome/C_felis/S2/links/cluster/cf-pep50-50-Sim-CLTL18.txt", 2)</f>
        <v>2</v>
      </c>
      <c r="DC17" s="7">
        <f>HYPERLINK("http://exon.niaid.nih.gov/transcriptome/C_felis/S2/links/cluster/cf-pep55-50-Sim-CLU17.txt", 17)</f>
        <v>17</v>
      </c>
      <c r="DD17" s="2">
        <f>HYPERLINK("http://exon.niaid.nih.gov/transcriptome/C_felis/S2/links/cluster/cf-pep55-50-Sim-CLTL17.txt", 2)</f>
        <v>2</v>
      </c>
      <c r="DE17" s="7">
        <f>HYPERLINK("http://exon.niaid.nih.gov/transcriptome/C_felis/S2/links/cluster/cf-pep60-50-Sim-CLU16.txt", 16)</f>
        <v>16</v>
      </c>
      <c r="DF17" s="2">
        <f>HYPERLINK("http://exon.niaid.nih.gov/transcriptome/C_felis/S2/links/cluster/cf-pep60-50-Sim-CLTL16.txt", 2)</f>
        <v>2</v>
      </c>
      <c r="DG17" s="7">
        <f>HYPERLINK("http://exon.niaid.nih.gov/transcriptome/C_felis/S2/links/cluster/cf-pep65-50-Sim-CLU13.txt", 13)</f>
        <v>13</v>
      </c>
      <c r="DH17" s="2">
        <f>HYPERLINK("http://exon.niaid.nih.gov/transcriptome/C_felis/S2/links/cluster/cf-pep65-50-Sim-CLTL13.txt", 2)</f>
        <v>2</v>
      </c>
      <c r="DI17" s="7">
        <f>HYPERLINK("http://exon.niaid.nih.gov/transcriptome/C_felis/S2/links/cluster/cf-pep70-50-Sim-CLU13.txt", 13)</f>
        <v>13</v>
      </c>
      <c r="DJ17" s="2">
        <f>HYPERLINK("http://exon.niaid.nih.gov/transcriptome/C_felis/S2/links/cluster/cf-pep70-50-Sim-CLTL13.txt", 2)</f>
        <v>2</v>
      </c>
      <c r="DK17" s="7">
        <v>129</v>
      </c>
      <c r="DL17" s="2">
        <v>1</v>
      </c>
      <c r="DM17" s="7">
        <v>131</v>
      </c>
      <c r="DN17" s="2">
        <v>1</v>
      </c>
      <c r="DO17" s="7">
        <v>134</v>
      </c>
      <c r="DP17" s="2">
        <v>1</v>
      </c>
      <c r="DQ17" s="7">
        <v>136</v>
      </c>
      <c r="DR17" s="2">
        <v>1</v>
      </c>
      <c r="DS17" s="7">
        <v>138</v>
      </c>
      <c r="DT17" s="2">
        <v>1</v>
      </c>
    </row>
    <row r="18" spans="1:124" s="3" customFormat="1" x14ac:dyDescent="0.2">
      <c r="A18" s="14" t="s">
        <v>545</v>
      </c>
      <c r="K18" s="1" t="s">
        <v>7</v>
      </c>
      <c r="L18" s="3" t="s">
        <v>7</v>
      </c>
      <c r="M18" s="3" t="s">
        <v>7</v>
      </c>
      <c r="N18" s="3" t="s">
        <v>7</v>
      </c>
      <c r="O18" s="3" t="s">
        <v>7</v>
      </c>
      <c r="P18" s="3" t="s">
        <v>7</v>
      </c>
      <c r="Q18" s="23" t="s">
        <v>7</v>
      </c>
      <c r="R18" s="1" t="s">
        <v>7</v>
      </c>
      <c r="S18" s="3" t="s">
        <v>7</v>
      </c>
      <c r="T18" s="3" t="s">
        <v>7</v>
      </c>
      <c r="U18" s="3" t="s">
        <v>7</v>
      </c>
      <c r="V18" s="3" t="s">
        <v>7</v>
      </c>
      <c r="W18" s="3" t="s">
        <v>7</v>
      </c>
      <c r="X18" s="1" t="s">
        <v>7</v>
      </c>
      <c r="Y18" s="3" t="s">
        <v>7</v>
      </c>
      <c r="Z18" s="3" t="s">
        <v>7</v>
      </c>
      <c r="AA18" s="3" t="s">
        <v>7</v>
      </c>
      <c r="AF18" s="1"/>
      <c r="AO18" s="1"/>
      <c r="AX18" s="1"/>
      <c r="BU18" s="1"/>
      <c r="BY18" s="1"/>
      <c r="CB18" s="1"/>
      <c r="CD18" s="1"/>
      <c r="CF18" s="1"/>
      <c r="CK18" s="6"/>
      <c r="CM18" s="6"/>
      <c r="CO18" s="6"/>
      <c r="CQ18" s="6"/>
      <c r="CS18" s="6"/>
      <c r="CU18" s="6"/>
      <c r="CW18" s="6"/>
      <c r="CY18" s="6"/>
      <c r="DA18" s="6"/>
      <c r="DC18" s="6"/>
      <c r="DE18" s="6"/>
      <c r="DG18" s="6"/>
      <c r="DI18" s="6"/>
      <c r="DK18" s="6"/>
      <c r="DM18" s="6"/>
      <c r="DO18" s="6"/>
      <c r="DQ18" s="6"/>
      <c r="DS18" s="6"/>
    </row>
    <row r="19" spans="1:124" x14ac:dyDescent="0.2">
      <c r="A19" t="str">
        <f>HYPERLINK("http://exon.niaid.nih.gov/transcriptome/C_felis/S2/links/pep/Cf-726-pep.txt","Cf-726")</f>
        <v>Cf-726</v>
      </c>
      <c r="B19" s="2">
        <v>1</v>
      </c>
      <c r="C19">
        <v>115</v>
      </c>
      <c r="D19" t="str">
        <f>HYPERLINK("http://exon.niaid.nih.gov/transcriptome/C_felis/S2/links/cds/Cf-726-cds.txt","Cf-726")</f>
        <v>Cf-726</v>
      </c>
      <c r="E19">
        <v>348</v>
      </c>
      <c r="F19" t="s">
        <v>513</v>
      </c>
      <c r="G19">
        <v>0</v>
      </c>
      <c r="I19" s="2" t="s">
        <v>9</v>
      </c>
      <c r="J19" s="2" t="s">
        <v>3</v>
      </c>
      <c r="K19" s="20" t="str">
        <f>HYPERLINK("http://exon.niaid.nih.gov/transcriptome/C_felis/S2/links/Sigp/Cf-726-SigP.txt","SIG")</f>
        <v>SIG</v>
      </c>
      <c r="L19" s="2" t="s">
        <v>557</v>
      </c>
      <c r="M19" s="2">
        <v>12.792</v>
      </c>
      <c r="N19" s="2">
        <v>8.59</v>
      </c>
      <c r="O19" s="2">
        <v>10.662000000000001</v>
      </c>
      <c r="P19" s="2">
        <v>8.3000000000000007</v>
      </c>
      <c r="Q19" s="24" t="s">
        <v>558</v>
      </c>
      <c r="R19" s="20">
        <v>0</v>
      </c>
      <c r="S19" s="2" t="s">
        <v>7</v>
      </c>
      <c r="T19" s="2" t="s">
        <v>7</v>
      </c>
      <c r="U19" s="2" t="s">
        <v>7</v>
      </c>
      <c r="V19" s="2" t="s">
        <v>7</v>
      </c>
      <c r="W19" s="2" t="s">
        <v>7</v>
      </c>
      <c r="X19" s="20" t="str">
        <f>HYPERLINK("http://exon.niaid.nih.gov/transcriptome/C_felis/S2/links/netoglyc/CF-726-netoglyc.txt","0")</f>
        <v>0</v>
      </c>
      <c r="Y19" s="2">
        <v>9.6</v>
      </c>
      <c r="Z19" s="2">
        <v>7</v>
      </c>
      <c r="AA19" s="2">
        <v>3.5</v>
      </c>
      <c r="AB19" t="s">
        <v>454</v>
      </c>
      <c r="AC19" t="s">
        <v>487</v>
      </c>
      <c r="AD19" t="s">
        <v>513</v>
      </c>
      <c r="AE19" s="2">
        <v>1</v>
      </c>
      <c r="AF19" s="4" t="str">
        <f>HYPERLINK("http://exon.niaid.nih.gov/transcriptome/C_felis/S2/links/NR/Cf-726-NR.txt","Defensin precursor, putative")</f>
        <v>Defensin precursor, putative</v>
      </c>
      <c r="AG19" t="str">
        <f>HYPERLINK("http://www.ncbi.nlm.nih.gov/sutils/blink.cgi?pid=242014943","2E-015")</f>
        <v>2E-015</v>
      </c>
      <c r="AH19" t="str">
        <f>HYPERLINK("http://www.ncbi.nlm.nih.gov/protein/242014943","gi|242014943")</f>
        <v>gi|242014943</v>
      </c>
      <c r="AI19">
        <v>86.3</v>
      </c>
      <c r="AJ19">
        <v>108</v>
      </c>
      <c r="AK19">
        <v>109</v>
      </c>
      <c r="AL19">
        <v>44</v>
      </c>
      <c r="AM19">
        <v>100</v>
      </c>
      <c r="AN19" t="s">
        <v>293</v>
      </c>
      <c r="AO19" s="4" t="str">
        <f>HYPERLINK("http://exon.niaid.nih.gov/transcriptome/C_felis/S2/links/SWISSP/Cf-726-SWISSP.txt","Defensin-2")</f>
        <v>Defensin-2</v>
      </c>
      <c r="AP19" t="str">
        <f>HYPERLINK("http://www.uniprot.org/uniprot/Q5MQL3","4E-011")</f>
        <v>4E-011</v>
      </c>
      <c r="AQ19" t="s">
        <v>385</v>
      </c>
      <c r="AR19">
        <v>66.599999999999994</v>
      </c>
      <c r="AS19">
        <v>103</v>
      </c>
      <c r="AT19">
        <v>104</v>
      </c>
      <c r="AU19">
        <v>35</v>
      </c>
      <c r="AV19">
        <v>100</v>
      </c>
      <c r="AW19" t="s">
        <v>75</v>
      </c>
      <c r="AX19" s="4" t="s">
        <v>386</v>
      </c>
      <c r="AY19">
        <f>HYPERLINK("http://exon.niaid.nih.gov/transcriptome/C_felis/S2/links/GO/Cf-726-GO.txt",0.00000001)</f>
        <v>1E-8</v>
      </c>
      <c r="AZ19" t="str">
        <f>HYPERLINK("http://amigo.geneontology.org/cgi-bin/amigo/term_details?term=GO:0003674","GO:0003674")</f>
        <v>GO:0003674</v>
      </c>
      <c r="BA19" t="s">
        <v>111</v>
      </c>
      <c r="BB19" t="s">
        <v>112</v>
      </c>
      <c r="BC19" t="s">
        <v>113</v>
      </c>
      <c r="BD19" t="s">
        <v>7</v>
      </c>
      <c r="BF19">
        <v>1E-8</v>
      </c>
      <c r="BG19" t="str">
        <f>HYPERLINK("http://amigo.geneontology.org/cgi-bin/amigo/term_details?term=GO:0005576","GO:0005576")</f>
        <v>GO:0005576</v>
      </c>
      <c r="BH19" t="s">
        <v>204</v>
      </c>
      <c r="BI19" t="s">
        <v>205</v>
      </c>
      <c r="BJ19" t="s">
        <v>206</v>
      </c>
      <c r="BK19" t="s">
        <v>7</v>
      </c>
      <c r="BM19">
        <v>1E-8</v>
      </c>
      <c r="BN19" t="str">
        <f>HYPERLINK("http://amigo.geneontology.org/cgi-bin/amigo/term_details?term=GO:0050829","GO:0050829")</f>
        <v>GO:0050829</v>
      </c>
      <c r="BO19" t="s">
        <v>387</v>
      </c>
      <c r="BP19" t="s">
        <v>388</v>
      </c>
      <c r="BQ19" t="s">
        <v>389</v>
      </c>
      <c r="BR19" t="s">
        <v>7</v>
      </c>
      <c r="BT19">
        <v>1E-8</v>
      </c>
      <c r="BU19" s="4" t="str">
        <f>HYPERLINK("http://exon.niaid.nih.gov/transcriptome/C_felis/S2/links/KOG/Cf-726-KOG.txt","Intramembrane metalloprotease (sterol-regulatory element-binding protein (SREBP) protease)")</f>
        <v>Intramembrane metalloprotease (sterol-regulatory element-binding protein (SREBP) protease)</v>
      </c>
      <c r="BV19" t="str">
        <f>HYPERLINK("http://www.ncbi.nlm.nih.gov/COG/grace/shokog.cgi?KOG2921","1.1")</f>
        <v>1.1</v>
      </c>
      <c r="BW19" t="s">
        <v>158</v>
      </c>
      <c r="BX19" t="str">
        <f>HYPERLINK("http://exon.niaid.nih.gov/transcriptome/C_felis/S2/links/KOG/Cf-726-KOG.txt","KOG2921")</f>
        <v>KOG2921</v>
      </c>
      <c r="BY19" s="4" t="str">
        <f>HYPERLINK("http://exon.niaid.nih.gov/transcriptome/C_felis/S2/links/CDD/Cf-726-CDD.txt","Defensin_2")</f>
        <v>Defensin_2</v>
      </c>
      <c r="BZ19" t="str">
        <f>HYPERLINK("http://www.ncbi.nlm.nih.gov/Structure/cdd/cddsrv.cgi?uid=pfam01097&amp;version=v4.0","5E-005")</f>
        <v>5E-005</v>
      </c>
      <c r="CA19" t="s">
        <v>390</v>
      </c>
      <c r="CB19" s="4" t="str">
        <f>HYPERLINK("http://exon.niaid.nih.gov/transcriptome/C_felis/S2/links/PFAM/Cf-726-PFAM.txt","Defensin_2")</f>
        <v>Defensin_2</v>
      </c>
      <c r="CC19" t="str">
        <f>HYPERLINK("http://pfam.sanger.ac.uk/family?acc=PF01097","1E-005")</f>
        <v>1E-005</v>
      </c>
      <c r="CD19" s="4" t="str">
        <f>HYPERLINK("http://exon.niaid.nih.gov/transcriptome/C_felis/S2/links/SMART/Cf-726-SMART.txt","Knot1")</f>
        <v>Knot1</v>
      </c>
      <c r="CE19" t="str">
        <f>HYPERLINK("http://smart.embl-heidelberg.de/smart/do_annotation.pl?DOMAIN=Knot1&amp;BLAST=DUMMY","0.004")</f>
        <v>0.004</v>
      </c>
      <c r="CF19" s="4" t="s">
        <v>7</v>
      </c>
      <c r="CG19" t="s">
        <v>7</v>
      </c>
      <c r="CH19" t="s">
        <v>7</v>
      </c>
      <c r="CI19" t="s">
        <v>7</v>
      </c>
      <c r="CJ19" t="s">
        <v>7</v>
      </c>
      <c r="CK19" s="7">
        <v>150</v>
      </c>
      <c r="CL19" s="2">
        <v>1</v>
      </c>
      <c r="CM19" s="7">
        <v>150</v>
      </c>
      <c r="CN19" s="2">
        <v>1</v>
      </c>
      <c r="CO19" s="7">
        <v>150</v>
      </c>
      <c r="CP19" s="2">
        <v>1</v>
      </c>
      <c r="CQ19" s="7">
        <v>93</v>
      </c>
      <c r="CR19" s="2">
        <v>1</v>
      </c>
      <c r="CS19" s="7">
        <v>120</v>
      </c>
      <c r="CT19" s="2">
        <v>1</v>
      </c>
      <c r="CU19" s="7">
        <v>131</v>
      </c>
      <c r="CV19" s="2">
        <v>1</v>
      </c>
      <c r="CW19" s="7">
        <v>139</v>
      </c>
      <c r="CX19" s="2">
        <v>1</v>
      </c>
      <c r="CY19" s="7">
        <v>144</v>
      </c>
      <c r="CZ19" s="2">
        <v>1</v>
      </c>
      <c r="DA19" s="7">
        <v>152</v>
      </c>
      <c r="DB19" s="2">
        <v>1</v>
      </c>
      <c r="DC19" s="7">
        <v>154</v>
      </c>
      <c r="DD19" s="2">
        <v>1</v>
      </c>
      <c r="DE19" s="7">
        <v>158</v>
      </c>
      <c r="DF19" s="2">
        <v>1</v>
      </c>
      <c r="DG19" s="7">
        <v>163</v>
      </c>
      <c r="DH19" s="2">
        <v>1</v>
      </c>
      <c r="DI19" s="7">
        <v>164</v>
      </c>
      <c r="DJ19" s="2">
        <v>1</v>
      </c>
      <c r="DK19" s="7">
        <v>166</v>
      </c>
      <c r="DL19" s="2">
        <v>1</v>
      </c>
      <c r="DM19" s="7">
        <v>168</v>
      </c>
      <c r="DN19" s="2">
        <v>1</v>
      </c>
      <c r="DO19" s="7">
        <v>172</v>
      </c>
      <c r="DP19" s="2">
        <v>1</v>
      </c>
      <c r="DQ19" s="7">
        <v>174</v>
      </c>
      <c r="DR19" s="2">
        <v>1</v>
      </c>
      <c r="DS19" s="7">
        <v>178</v>
      </c>
      <c r="DT19" s="2">
        <v>1</v>
      </c>
    </row>
    <row r="20" spans="1:124" x14ac:dyDescent="0.2">
      <c r="A20" t="str">
        <f>HYPERLINK("http://exon.niaid.nih.gov/transcriptome/C_felis/S2/links/pep/Cf-83-pep.txt","Cf-83")</f>
        <v>Cf-83</v>
      </c>
      <c r="B20" s="2">
        <v>9</v>
      </c>
      <c r="C20">
        <v>101</v>
      </c>
      <c r="D20" t="str">
        <f>HYPERLINK("http://exon.niaid.nih.gov/transcriptome/C_felis/S2/links/cds/Cf-83-cds.txt","Cf-83")</f>
        <v>Cf-83</v>
      </c>
      <c r="E20">
        <v>306</v>
      </c>
      <c r="F20" t="s">
        <v>518</v>
      </c>
      <c r="G20">
        <v>0</v>
      </c>
      <c r="I20" s="2" t="s">
        <v>10</v>
      </c>
      <c r="J20" s="2" t="s">
        <v>3</v>
      </c>
      <c r="K20" s="20" t="str">
        <f>HYPERLINK("http://exon.niaid.nih.gov/transcriptome/C_felis/S2/links/Sigp/Cf-83-SigP.txt","CYT")</f>
        <v>CYT</v>
      </c>
      <c r="L20" s="2" t="s">
        <v>7</v>
      </c>
      <c r="M20" s="2">
        <v>9.7840000000000007</v>
      </c>
      <c r="N20" s="2">
        <v>9.6199999999999992</v>
      </c>
      <c r="O20" s="2" t="s">
        <v>7</v>
      </c>
      <c r="P20" s="2" t="s">
        <v>7</v>
      </c>
      <c r="Q20" s="24" t="s">
        <v>556</v>
      </c>
      <c r="R20" s="20">
        <v>0</v>
      </c>
      <c r="S20" s="2" t="s">
        <v>7</v>
      </c>
      <c r="T20" s="2" t="s">
        <v>7</v>
      </c>
      <c r="U20" s="2" t="s">
        <v>7</v>
      </c>
      <c r="V20" s="2" t="s">
        <v>7</v>
      </c>
      <c r="W20" s="2" t="s">
        <v>7</v>
      </c>
      <c r="X20" s="20" t="str">
        <f>HYPERLINK("http://exon.niaid.nih.gov/transcriptome/C_felis/S2/links/netoglyc/CF-83-netoglyc.txt","7")</f>
        <v>7</v>
      </c>
      <c r="Y20" s="2">
        <v>7.9</v>
      </c>
      <c r="Z20" s="2">
        <v>38.6</v>
      </c>
      <c r="AA20" s="2">
        <v>6.9</v>
      </c>
      <c r="AB20" t="s">
        <v>441</v>
      </c>
      <c r="AC20" t="s">
        <v>442</v>
      </c>
      <c r="AD20" t="s">
        <v>518</v>
      </c>
      <c r="AE20" s="2">
        <v>9</v>
      </c>
      <c r="AF20" s="4" t="str">
        <f>HYPERLINK("http://exon.niaid.nih.gov/transcriptome/C_felis/S2/links/NR/Cf-83-NR.txt","GH24756")</f>
        <v>GH24756</v>
      </c>
      <c r="AG20" t="str">
        <f>HYPERLINK("http://www.ncbi.nlm.nih.gov/sutils/blink.cgi?pid=195047978","7E-018")</f>
        <v>7E-018</v>
      </c>
      <c r="AH20" t="str">
        <f>HYPERLINK("http://www.ncbi.nlm.nih.gov/protein/195047978","gi|195047978")</f>
        <v>gi|195047978</v>
      </c>
      <c r="AI20">
        <v>94</v>
      </c>
      <c r="AJ20">
        <v>352</v>
      </c>
      <c r="AK20">
        <v>541</v>
      </c>
      <c r="AL20">
        <v>50</v>
      </c>
      <c r="AM20">
        <v>65</v>
      </c>
      <c r="AN20" t="s">
        <v>64</v>
      </c>
      <c r="AO20" s="4" t="str">
        <f>HYPERLINK("http://exon.niaid.nih.gov/transcriptome/C_felis/S2/links/SWISSP/Cf-83-SWISSP.txt","Holotricin-3")</f>
        <v>Holotricin-3</v>
      </c>
      <c r="AP20" t="str">
        <f>HYPERLINK("http://www.uniprot.org/uniprot/Q25055","9E-017")</f>
        <v>9E-017</v>
      </c>
      <c r="AQ20" t="s">
        <v>410</v>
      </c>
      <c r="AR20">
        <v>85.5</v>
      </c>
      <c r="AS20">
        <v>81</v>
      </c>
      <c r="AT20">
        <v>104</v>
      </c>
      <c r="AU20">
        <v>55</v>
      </c>
      <c r="AV20">
        <v>79</v>
      </c>
      <c r="AW20" t="s">
        <v>411</v>
      </c>
      <c r="AX20" s="4" t="s">
        <v>412</v>
      </c>
      <c r="AY20">
        <f>HYPERLINK("http://exon.niaid.nih.gov/transcriptome/C_felis/S2/links/GO/Cf-83-GO.txt",0.0000000000000004)</f>
        <v>3.9999999999999999E-16</v>
      </c>
      <c r="AZ20" t="str">
        <f>HYPERLINK("http://amigo.geneontology.org/cgi-bin/amigo/term_details?term=GO:0003674","GO:0003674")</f>
        <v>GO:0003674</v>
      </c>
      <c r="BA20" t="s">
        <v>111</v>
      </c>
      <c r="BB20" t="s">
        <v>112</v>
      </c>
      <c r="BC20" t="s">
        <v>113</v>
      </c>
      <c r="BD20" t="s">
        <v>7</v>
      </c>
      <c r="BF20" s="5">
        <v>3.9999999999999999E-16</v>
      </c>
      <c r="BG20" t="str">
        <f>HYPERLINK("http://amigo.geneontology.org/cgi-bin/amigo/term_details?term=GO:0005575","GO:0005575")</f>
        <v>GO:0005575</v>
      </c>
      <c r="BH20" t="s">
        <v>114</v>
      </c>
      <c r="BI20" t="s">
        <v>115</v>
      </c>
      <c r="BJ20" t="s">
        <v>116</v>
      </c>
      <c r="BK20" t="s">
        <v>7</v>
      </c>
      <c r="BM20" s="5">
        <v>3.9999999999999999E-16</v>
      </c>
      <c r="BN20" t="str">
        <f>HYPERLINK("http://amigo.geneontology.org/cgi-bin/amigo/term_details?term=GO:0008150","GO:0008150")</f>
        <v>GO:0008150</v>
      </c>
      <c r="BO20" t="s">
        <v>117</v>
      </c>
      <c r="BP20" t="s">
        <v>118</v>
      </c>
      <c r="BQ20" t="s">
        <v>119</v>
      </c>
      <c r="BR20" t="s">
        <v>7</v>
      </c>
      <c r="BT20" s="5">
        <v>3.9999999999999999E-16</v>
      </c>
      <c r="BU20" s="4" t="str">
        <f>HYPERLINK("http://exon.niaid.nih.gov/transcriptome/C_felis/S2/links/KOG/Cf-83-KOG.txt","Dosage compensation complex, subunit MLE")</f>
        <v>Dosage compensation complex, subunit MLE</v>
      </c>
      <c r="BV20" t="str">
        <f>HYPERLINK("http://www.ncbi.nlm.nih.gov/COG/grace/shokog.cgi?KOG0921","8E-006")</f>
        <v>8E-006</v>
      </c>
      <c r="BW20" t="s">
        <v>321</v>
      </c>
      <c r="BX20" t="str">
        <f>HYPERLINK("http://exon.niaid.nih.gov/transcriptome/C_felis/S2/links/KOG/Cf-83-KOG.txt","KOG0921")</f>
        <v>KOG0921</v>
      </c>
      <c r="BY20" s="4" t="str">
        <f>HYPERLINK("http://exon.niaid.nih.gov/transcriptome/C_felis/S2/links/CDD/Cf-83-CDD.txt","PRK09565")</f>
        <v>PRK09565</v>
      </c>
      <c r="BZ20" t="str">
        <f>HYPERLINK("http://www.ncbi.nlm.nih.gov/Structure/cdd/cddsrv.cgi?uid=PRK09565&amp;version=v4.0","2E-004")</f>
        <v>2E-004</v>
      </c>
      <c r="CA20" t="s">
        <v>413</v>
      </c>
      <c r="CB20" s="4" t="str">
        <f>HYPERLINK("http://exon.niaid.nih.gov/transcriptome/C_felis/S2/links/PFAM/Cf-83-PFAM.txt","Het-C")</f>
        <v>Het-C</v>
      </c>
      <c r="CC20" t="str">
        <f>HYPERLINK("http://pfam.sanger.ac.uk/family?acc=PF07217","7E-004")</f>
        <v>7E-004</v>
      </c>
      <c r="CD20" s="4" t="str">
        <f>HYPERLINK("http://exon.niaid.nih.gov/transcriptome/C_felis/S2/links/SMART/Cf-83-SMART.txt","PRP")</f>
        <v>PRP</v>
      </c>
      <c r="CE20" t="str">
        <f>HYPERLINK("http://smart.embl-heidelberg.de/smart/do_annotation.pl?DOMAIN=PRP&amp;BLAST=DUMMY","0.073")</f>
        <v>0.073</v>
      </c>
      <c r="CF20" s="4" t="s">
        <v>7</v>
      </c>
      <c r="CG20" t="s">
        <v>7</v>
      </c>
      <c r="CH20" t="s">
        <v>7</v>
      </c>
      <c r="CI20" t="s">
        <v>7</v>
      </c>
      <c r="CJ20" t="s">
        <v>7</v>
      </c>
      <c r="CK20" s="7">
        <v>171</v>
      </c>
      <c r="CL20" s="2">
        <v>1</v>
      </c>
      <c r="CM20" s="7">
        <v>171</v>
      </c>
      <c r="CN20" s="2">
        <v>1</v>
      </c>
      <c r="CO20" s="7">
        <v>171</v>
      </c>
      <c r="CP20" s="2">
        <v>1</v>
      </c>
      <c r="CQ20" s="7">
        <v>107</v>
      </c>
      <c r="CR20" s="2">
        <v>1</v>
      </c>
      <c r="CS20" s="7">
        <v>136</v>
      </c>
      <c r="CT20" s="2">
        <v>1</v>
      </c>
      <c r="CU20" s="7">
        <v>147</v>
      </c>
      <c r="CV20" s="2">
        <v>1</v>
      </c>
      <c r="CW20" s="7">
        <v>155</v>
      </c>
      <c r="CX20" s="2">
        <v>1</v>
      </c>
      <c r="CY20" s="7">
        <v>163</v>
      </c>
      <c r="CZ20" s="2">
        <v>1</v>
      </c>
      <c r="DA20" s="7">
        <v>173</v>
      </c>
      <c r="DB20" s="2">
        <v>1</v>
      </c>
      <c r="DC20" s="7">
        <v>176</v>
      </c>
      <c r="DD20" s="2">
        <v>1</v>
      </c>
      <c r="DE20" s="7">
        <v>182</v>
      </c>
      <c r="DF20" s="2">
        <v>1</v>
      </c>
      <c r="DG20" s="7">
        <v>187</v>
      </c>
      <c r="DH20" s="2">
        <v>1</v>
      </c>
      <c r="DI20" s="7">
        <v>189</v>
      </c>
      <c r="DJ20" s="2">
        <v>1</v>
      </c>
      <c r="DK20" s="7">
        <v>191</v>
      </c>
      <c r="DL20" s="2">
        <v>1</v>
      </c>
      <c r="DM20" s="7">
        <v>193</v>
      </c>
      <c r="DN20" s="2">
        <v>1</v>
      </c>
      <c r="DO20" s="7">
        <v>198</v>
      </c>
      <c r="DP20" s="2">
        <v>1</v>
      </c>
      <c r="DQ20" s="7">
        <v>200</v>
      </c>
      <c r="DR20" s="2">
        <v>1</v>
      </c>
      <c r="DS20" s="7">
        <v>205</v>
      </c>
      <c r="DT20" s="2">
        <v>1</v>
      </c>
    </row>
    <row r="21" spans="1:124" s="3" customFormat="1" x14ac:dyDescent="0.2">
      <c r="A21" s="14" t="s">
        <v>522</v>
      </c>
      <c r="K21" s="1" t="s">
        <v>7</v>
      </c>
      <c r="L21" s="3" t="s">
        <v>7</v>
      </c>
      <c r="M21" s="3" t="s">
        <v>7</v>
      </c>
      <c r="N21" s="3" t="s">
        <v>7</v>
      </c>
      <c r="O21" s="3" t="s">
        <v>7</v>
      </c>
      <c r="P21" s="3" t="s">
        <v>7</v>
      </c>
      <c r="Q21" s="23" t="s">
        <v>7</v>
      </c>
      <c r="R21" s="1" t="s">
        <v>7</v>
      </c>
      <c r="S21" s="3" t="s">
        <v>7</v>
      </c>
      <c r="T21" s="3" t="s">
        <v>7</v>
      </c>
      <c r="U21" s="3" t="s">
        <v>7</v>
      </c>
      <c r="V21" s="3" t="s">
        <v>7</v>
      </c>
      <c r="W21" s="3" t="s">
        <v>7</v>
      </c>
      <c r="X21" s="1" t="s">
        <v>7</v>
      </c>
      <c r="Y21" s="3" t="s">
        <v>7</v>
      </c>
      <c r="Z21" s="3" t="s">
        <v>7</v>
      </c>
      <c r="AA21" s="3" t="s">
        <v>7</v>
      </c>
      <c r="AF21" s="1"/>
      <c r="AO21" s="1"/>
      <c r="AX21" s="1"/>
      <c r="BU21" s="1"/>
      <c r="BY21" s="1"/>
      <c r="CB21" s="1"/>
      <c r="CD21" s="1"/>
      <c r="CF21" s="1"/>
      <c r="CK21" s="6"/>
      <c r="CM21" s="6"/>
      <c r="CO21" s="6"/>
      <c r="CQ21" s="6"/>
      <c r="CS21" s="6"/>
      <c r="CU21" s="6"/>
      <c r="CW21" s="6"/>
      <c r="CY21" s="6"/>
      <c r="DA21" s="6"/>
      <c r="DC21" s="6"/>
      <c r="DE21" s="6"/>
      <c r="DG21" s="6"/>
      <c r="DI21" s="6"/>
      <c r="DK21" s="6"/>
      <c r="DM21" s="6"/>
      <c r="DO21" s="6"/>
      <c r="DQ21" s="6"/>
      <c r="DS21" s="6"/>
    </row>
    <row r="22" spans="1:124" s="3" customFormat="1" x14ac:dyDescent="0.2">
      <c r="A22" s="14" t="s">
        <v>588</v>
      </c>
      <c r="K22" s="1" t="s">
        <v>7</v>
      </c>
      <c r="L22" s="3" t="s">
        <v>7</v>
      </c>
      <c r="M22" s="3" t="s">
        <v>7</v>
      </c>
      <c r="N22" s="3" t="s">
        <v>7</v>
      </c>
      <c r="O22" s="3" t="s">
        <v>7</v>
      </c>
      <c r="P22" s="3" t="s">
        <v>7</v>
      </c>
      <c r="Q22" s="23" t="s">
        <v>7</v>
      </c>
      <c r="R22" s="1" t="s">
        <v>7</v>
      </c>
      <c r="S22" s="3" t="s">
        <v>7</v>
      </c>
      <c r="T22" s="3" t="s">
        <v>7</v>
      </c>
      <c r="U22" s="3" t="s">
        <v>7</v>
      </c>
      <c r="V22" s="3" t="s">
        <v>7</v>
      </c>
      <c r="W22" s="3" t="s">
        <v>7</v>
      </c>
      <c r="X22" s="1" t="s">
        <v>7</v>
      </c>
      <c r="Y22" s="3" t="s">
        <v>7</v>
      </c>
      <c r="Z22" s="3" t="s">
        <v>7</v>
      </c>
      <c r="AA22" s="3" t="s">
        <v>7</v>
      </c>
      <c r="AF22" s="1"/>
      <c r="AO22" s="1"/>
      <c r="AX22" s="1"/>
      <c r="BU22" s="1"/>
      <c r="BY22" s="1"/>
      <c r="CB22" s="1"/>
      <c r="CD22" s="1"/>
      <c r="CF22" s="1"/>
      <c r="CK22" s="6"/>
      <c r="CM22" s="6"/>
      <c r="CO22" s="6"/>
      <c r="CQ22" s="6"/>
      <c r="CS22" s="6"/>
      <c r="CU22" s="6"/>
      <c r="CW22" s="6"/>
      <c r="CY22" s="6"/>
      <c r="DA22" s="6"/>
      <c r="DC22" s="6"/>
      <c r="DE22" s="6"/>
      <c r="DG22" s="6"/>
      <c r="DI22" s="6"/>
      <c r="DK22" s="6"/>
      <c r="DM22" s="6"/>
      <c r="DO22" s="6"/>
      <c r="DQ22" s="6"/>
      <c r="DS22" s="6"/>
    </row>
    <row r="23" spans="1:124" x14ac:dyDescent="0.2">
      <c r="A23" t="str">
        <f>HYPERLINK("http://exon.niaid.nih.gov/transcriptome/C_felis/S2/links/pep/Cf-169-pep.txt","Cf-169")</f>
        <v>Cf-169</v>
      </c>
      <c r="B23" s="2">
        <v>5</v>
      </c>
      <c r="C23">
        <v>93</v>
      </c>
      <c r="D23" t="str">
        <f>HYPERLINK("http://exon.niaid.nih.gov/transcriptome/C_felis/S2/links/cds/Cf-169-cds.txt","Cf-169")</f>
        <v>Cf-169</v>
      </c>
      <c r="E23">
        <v>282</v>
      </c>
      <c r="F23" t="s">
        <v>478</v>
      </c>
      <c r="G23">
        <v>0</v>
      </c>
      <c r="I23" s="2" t="s">
        <v>4</v>
      </c>
      <c r="J23" s="2" t="s">
        <v>3</v>
      </c>
      <c r="K23" s="20" t="str">
        <f>HYPERLINK("http://exon.niaid.nih.gov/transcriptome/C_felis/S2/links/Sigp/Cf-169-SigP.txt","CYT")</f>
        <v>CYT</v>
      </c>
      <c r="L23" s="2" t="s">
        <v>7</v>
      </c>
      <c r="M23" s="2">
        <v>10.201000000000001</v>
      </c>
      <c r="N23" s="2">
        <v>8.09</v>
      </c>
      <c r="O23" s="2" t="s">
        <v>7</v>
      </c>
      <c r="P23" s="2" t="s">
        <v>7</v>
      </c>
      <c r="Q23" s="24" t="s">
        <v>556</v>
      </c>
      <c r="R23" s="20">
        <v>0</v>
      </c>
      <c r="S23" s="2" t="s">
        <v>7</v>
      </c>
      <c r="T23" s="2" t="s">
        <v>7</v>
      </c>
      <c r="U23" s="2" t="s">
        <v>7</v>
      </c>
      <c r="V23" s="2" t="s">
        <v>7</v>
      </c>
      <c r="W23" s="2" t="s">
        <v>7</v>
      </c>
      <c r="X23" s="20" t="str">
        <f>HYPERLINK("http://exon.niaid.nih.gov/transcriptome/C_felis/S2/links/netoglyc/CF-169-netoglyc.txt","0")</f>
        <v>0</v>
      </c>
      <c r="Y23" s="2">
        <v>8.6</v>
      </c>
      <c r="Z23" s="2">
        <v>9.6999999999999993</v>
      </c>
      <c r="AA23" s="2">
        <v>7.5</v>
      </c>
      <c r="AB23" t="s">
        <v>441</v>
      </c>
      <c r="AC23" t="s">
        <v>477</v>
      </c>
      <c r="AD23" t="s">
        <v>478</v>
      </c>
      <c r="AE23" s="2">
        <v>5</v>
      </c>
      <c r="AF23" s="4" t="str">
        <f>HYPERLINK("http://exon.niaid.nih.gov/transcriptome/C_felis/S2/links/NR/Cf-169-NR.txt","FS-I")</f>
        <v>FS-I</v>
      </c>
      <c r="AG23" s="26" t="str">
        <f>HYPERLINK("http://www.ncbi.nlm.nih.gov/sutils/blink.cgi?pid=3805687","1E-037")</f>
        <v>1E-037</v>
      </c>
      <c r="AH23" t="str">
        <f>HYPERLINK("http://www.ncbi.nlm.nih.gov/protein/3805687","gi|3805687")</f>
        <v>gi|3805687</v>
      </c>
      <c r="AI23">
        <v>159</v>
      </c>
      <c r="AJ23">
        <v>150</v>
      </c>
      <c r="AK23">
        <v>154</v>
      </c>
      <c r="AL23">
        <v>76</v>
      </c>
      <c r="AM23">
        <v>98</v>
      </c>
      <c r="AN23" t="s">
        <v>85</v>
      </c>
      <c r="AO23" s="4" t="str">
        <f>HYPERLINK("http://exon.niaid.nih.gov/transcriptome/C_felis/S2/links/SWISSP/Cf-169-SWISSP.txt","Salivary antigen 1")</f>
        <v>Salivary antigen 1</v>
      </c>
      <c r="AP23" t="str">
        <f>HYPERLINK("http://www.uniprot.org/uniprot/Q94424","5E-039")</f>
        <v>5E-039</v>
      </c>
      <c r="AQ23" t="s">
        <v>184</v>
      </c>
      <c r="AR23">
        <v>159</v>
      </c>
      <c r="AS23">
        <v>151</v>
      </c>
      <c r="AT23">
        <v>176</v>
      </c>
      <c r="AU23">
        <v>76</v>
      </c>
      <c r="AV23">
        <v>86</v>
      </c>
      <c r="AW23" t="s">
        <v>85</v>
      </c>
      <c r="AX23" s="4" t="s">
        <v>7</v>
      </c>
      <c r="AY23" t="s">
        <v>7</v>
      </c>
      <c r="AZ23" t="s">
        <v>7</v>
      </c>
      <c r="BA23" t="s">
        <v>7</v>
      </c>
      <c r="BB23" t="s">
        <v>7</v>
      </c>
      <c r="BC23" t="s">
        <v>7</v>
      </c>
      <c r="BD23" t="s">
        <v>7</v>
      </c>
      <c r="BE23" t="s">
        <v>7</v>
      </c>
      <c r="BF23" t="s">
        <v>7</v>
      </c>
      <c r="BG23" t="s">
        <v>7</v>
      </c>
      <c r="BH23" t="s">
        <v>7</v>
      </c>
      <c r="BI23" t="s">
        <v>7</v>
      </c>
      <c r="BJ23" t="s">
        <v>7</v>
      </c>
      <c r="BK23" t="s">
        <v>7</v>
      </c>
      <c r="BL23" t="s">
        <v>7</v>
      </c>
      <c r="BM23" t="s">
        <v>7</v>
      </c>
      <c r="BN23" t="s">
        <v>7</v>
      </c>
      <c r="BO23" t="s">
        <v>7</v>
      </c>
      <c r="BP23" t="s">
        <v>7</v>
      </c>
      <c r="BQ23" t="s">
        <v>7</v>
      </c>
      <c r="BR23" t="s">
        <v>7</v>
      </c>
      <c r="BS23" t="s">
        <v>7</v>
      </c>
      <c r="BT23" t="s">
        <v>7</v>
      </c>
      <c r="BU23" s="4" t="str">
        <f>HYPERLINK("http://exon.niaid.nih.gov/transcriptome/C_felis/S2/links/KOG/Cf-169-KOG.txt","DEAD box-containing helicase-like transcription factor/DNA repair protein")</f>
        <v>DEAD box-containing helicase-like transcription factor/DNA repair protein</v>
      </c>
      <c r="BV23" t="str">
        <f>HYPERLINK("http://www.ncbi.nlm.nih.gov/COG/grace/shokog.cgi?KOG0298","0.18")</f>
        <v>0.18</v>
      </c>
      <c r="BW23" t="s">
        <v>222</v>
      </c>
      <c r="BX23" t="str">
        <f>HYPERLINK("http://exon.niaid.nih.gov/transcriptome/C_felis/S2/links/KOG/Cf-169-KOG.txt","KOG0298")</f>
        <v>KOG0298</v>
      </c>
      <c r="BY23" s="4" t="str">
        <f>HYPERLINK("http://exon.niaid.nih.gov/transcriptome/C_felis/S2/links/CDD/Cf-169-CDD.txt","PRK15374")</f>
        <v>PRK15374</v>
      </c>
      <c r="BZ23" t="str">
        <f>HYPERLINK("http://www.ncbi.nlm.nih.gov/Structure/cdd/cddsrv.cgi?uid=PRK15374&amp;version=v4.0","1.0")</f>
        <v>1.0</v>
      </c>
      <c r="CA23" t="s">
        <v>223</v>
      </c>
      <c r="CB23" s="4" t="str">
        <f>HYPERLINK("http://exon.niaid.nih.gov/transcriptome/C_felis/S2/links/PFAM/Cf-169-PFAM.txt","SAM_decarbox")</f>
        <v>SAM_decarbox</v>
      </c>
      <c r="CC23" t="str">
        <f>HYPERLINK("http://pfam.sanger.ac.uk/family?acc=PF01536","4.2")</f>
        <v>4.2</v>
      </c>
      <c r="CD23" s="4" t="str">
        <f>HYPERLINK("http://exon.niaid.nih.gov/transcriptome/C_felis/S2/links/SMART/Cf-169-SMART.txt","PLCXc")</f>
        <v>PLCXc</v>
      </c>
      <c r="CE23" t="str">
        <f>HYPERLINK("http://smart.embl-heidelberg.de/smart/do_annotation.pl?DOMAIN=PLCXc&amp;BLAST=DUMMY","0.20")</f>
        <v>0.20</v>
      </c>
      <c r="CF23" s="4" t="s">
        <v>7</v>
      </c>
      <c r="CG23" t="s">
        <v>7</v>
      </c>
      <c r="CH23" t="s">
        <v>7</v>
      </c>
      <c r="CI23" t="s">
        <v>7</v>
      </c>
      <c r="CJ23" t="s">
        <v>7</v>
      </c>
      <c r="CK23" s="7">
        <v>36</v>
      </c>
      <c r="CL23" s="2">
        <v>1</v>
      </c>
      <c r="CM23" s="7">
        <v>36</v>
      </c>
      <c r="CN23" s="2">
        <v>1</v>
      </c>
      <c r="CO23" s="7">
        <v>36</v>
      </c>
      <c r="CP23" s="2">
        <v>1</v>
      </c>
      <c r="CQ23" s="7">
        <f t="shared" ref="CQ23:CQ29" si="10">HYPERLINK("http://exon.niaid.nih.gov/transcriptome/C_felis/S2/links/cluster/cf-pep25-50-Sim-CLU2.txt", 2)</f>
        <v>2</v>
      </c>
      <c r="CR23" s="2">
        <f t="shared" ref="CR23:CR29" si="11">HYPERLINK("http://exon.niaid.nih.gov/transcriptome/C_felis/S2/links/cluster/cf-pep25-50-Sim-CLTL2.txt", 34)</f>
        <v>34</v>
      </c>
      <c r="CS23" s="7">
        <f t="shared" ref="CS23:CS29" si="12">HYPERLINK("http://exon.niaid.nih.gov/transcriptome/C_felis/S2/links/cluster/cf-pep30-50-Sim-CLU2.txt", 2)</f>
        <v>2</v>
      </c>
      <c r="CT23" s="2">
        <f t="shared" ref="CT23:CT29" si="13">HYPERLINK("http://exon.niaid.nih.gov/transcriptome/C_felis/S2/links/cluster/cf-pep30-50-Sim-CLTL2.txt", 20)</f>
        <v>20</v>
      </c>
      <c r="CU23" s="7">
        <v>39</v>
      </c>
      <c r="CV23" s="2">
        <v>1</v>
      </c>
      <c r="CW23" s="7">
        <v>38</v>
      </c>
      <c r="CX23" s="2">
        <v>1</v>
      </c>
      <c r="CY23" s="7">
        <v>39</v>
      </c>
      <c r="CZ23" s="2">
        <v>1</v>
      </c>
      <c r="DA23" s="7">
        <v>39</v>
      </c>
      <c r="DB23" s="2">
        <v>1</v>
      </c>
      <c r="DC23" s="7">
        <v>38</v>
      </c>
      <c r="DD23" s="2">
        <v>1</v>
      </c>
      <c r="DE23" s="7">
        <v>37</v>
      </c>
      <c r="DF23" s="2">
        <v>1</v>
      </c>
      <c r="DG23" s="7">
        <v>37</v>
      </c>
      <c r="DH23" s="2">
        <v>1</v>
      </c>
      <c r="DI23" s="7">
        <v>38</v>
      </c>
      <c r="DJ23" s="2">
        <v>1</v>
      </c>
      <c r="DK23" s="7">
        <v>38</v>
      </c>
      <c r="DL23" s="2">
        <v>1</v>
      </c>
      <c r="DM23" s="7">
        <v>40</v>
      </c>
      <c r="DN23" s="2">
        <v>1</v>
      </c>
      <c r="DO23" s="7">
        <v>38</v>
      </c>
      <c r="DP23" s="2">
        <v>1</v>
      </c>
      <c r="DQ23" s="7">
        <v>38</v>
      </c>
      <c r="DR23" s="2">
        <v>1</v>
      </c>
      <c r="DS23" s="7">
        <v>37</v>
      </c>
      <c r="DT23" s="2">
        <v>1</v>
      </c>
    </row>
    <row r="24" spans="1:124" x14ac:dyDescent="0.2">
      <c r="A24" t="str">
        <f>HYPERLINK("http://exon.niaid.nih.gov/transcriptome/C_felis/S2/links/pep/Cf-31-pep.txt","Cf-31")</f>
        <v>Cf-31</v>
      </c>
      <c r="B24" s="2">
        <v>9</v>
      </c>
      <c r="C24">
        <v>53</v>
      </c>
      <c r="D24" t="str">
        <f>HYPERLINK("http://exon.niaid.nih.gov/transcriptome/C_felis/S2/links/cds/Cf-31-cds.txt","Cf-31")</f>
        <v>Cf-31</v>
      </c>
      <c r="E24">
        <v>162</v>
      </c>
      <c r="F24" t="s">
        <v>445</v>
      </c>
      <c r="G24">
        <v>0</v>
      </c>
      <c r="I24" s="2" t="s">
        <v>4</v>
      </c>
      <c r="J24" s="2" t="s">
        <v>3</v>
      </c>
      <c r="K24" s="20" t="str">
        <f>HYPERLINK("http://exon.niaid.nih.gov/transcriptome/C_felis/S2/links/Sigp/Cf-31-SigP.txt","CYT")</f>
        <v>CYT</v>
      </c>
      <c r="L24" s="2" t="s">
        <v>7</v>
      </c>
      <c r="M24" s="2">
        <v>5.5739999999999998</v>
      </c>
      <c r="N24" s="2">
        <v>6.01</v>
      </c>
      <c r="O24" s="2" t="s">
        <v>7</v>
      </c>
      <c r="P24" s="2" t="s">
        <v>7</v>
      </c>
      <c r="Q24" s="24" t="s">
        <v>556</v>
      </c>
      <c r="R24" s="20">
        <v>0</v>
      </c>
      <c r="S24" s="2" t="s">
        <v>7</v>
      </c>
      <c r="T24" s="2" t="s">
        <v>7</v>
      </c>
      <c r="U24" s="2" t="s">
        <v>7</v>
      </c>
      <c r="V24" s="2" t="s">
        <v>7</v>
      </c>
      <c r="W24" s="2" t="s">
        <v>7</v>
      </c>
      <c r="X24" s="20" t="str">
        <f>HYPERLINK("http://exon.niaid.nih.gov/transcriptome/C_felis/S2/links/netoglyc/CF-31-netoglyc.txt","1")</f>
        <v>1</v>
      </c>
      <c r="Y24" s="2">
        <v>13.2</v>
      </c>
      <c r="Z24" s="2">
        <v>18.899999999999999</v>
      </c>
      <c r="AA24" s="2">
        <v>7.5</v>
      </c>
      <c r="AB24" t="s">
        <v>441</v>
      </c>
      <c r="AC24" t="s">
        <v>444</v>
      </c>
      <c r="AD24" t="s">
        <v>445</v>
      </c>
      <c r="AE24" s="2">
        <v>9</v>
      </c>
      <c r="AF24" s="4" t="str">
        <f>HYPERLINK("http://exon.niaid.nih.gov/transcriptome/C_felis/S2/links/NR/Cf-31-NR.txt","FS-H precursor")</f>
        <v>FS-H precursor</v>
      </c>
      <c r="AG24" t="str">
        <f>HYPERLINK("http://www.ncbi.nlm.nih.gov/sutils/blink.cgi?pid=1575479","1E-014")</f>
        <v>1E-014</v>
      </c>
      <c r="AH24" t="str">
        <f>HYPERLINK("http://www.ncbi.nlm.nih.gov/protein/1575479","gi|1575479")</f>
        <v>gi|1575479</v>
      </c>
      <c r="AI24">
        <v>83.2</v>
      </c>
      <c r="AJ24">
        <v>55</v>
      </c>
      <c r="AK24">
        <v>98</v>
      </c>
      <c r="AL24">
        <v>58</v>
      </c>
      <c r="AM24">
        <v>57</v>
      </c>
      <c r="AN24" t="s">
        <v>85</v>
      </c>
      <c r="AO24" s="4" t="str">
        <f>HYPERLINK("http://exon.niaid.nih.gov/transcriptome/C_felis/S2/links/SWISSP/Cf-31-SWISSP.txt","Protein kinase C-binding protein NELL2")</f>
        <v>Protein kinase C-binding protein NELL2</v>
      </c>
      <c r="AP24" t="str">
        <f>HYPERLINK("http://www.uniprot.org/uniprot/Q7ZXL5","0.30")</f>
        <v>0.30</v>
      </c>
      <c r="AQ24" t="s">
        <v>87</v>
      </c>
      <c r="AR24">
        <v>33.9</v>
      </c>
      <c r="AS24">
        <v>34</v>
      </c>
      <c r="AT24">
        <v>814</v>
      </c>
      <c r="AU24">
        <v>39</v>
      </c>
      <c r="AV24">
        <v>4</v>
      </c>
      <c r="AW24" t="s">
        <v>88</v>
      </c>
      <c r="AX24" s="4" t="s">
        <v>7</v>
      </c>
      <c r="AY24" t="s">
        <v>7</v>
      </c>
      <c r="AZ24" t="s">
        <v>7</v>
      </c>
      <c r="BA24" t="s">
        <v>7</v>
      </c>
      <c r="BB24" t="s">
        <v>7</v>
      </c>
      <c r="BC24" t="s">
        <v>7</v>
      </c>
      <c r="BD24" t="s">
        <v>7</v>
      </c>
      <c r="BE24" t="s">
        <v>7</v>
      </c>
      <c r="BF24" t="s">
        <v>7</v>
      </c>
      <c r="BG24" t="s">
        <v>7</v>
      </c>
      <c r="BH24" t="s">
        <v>7</v>
      </c>
      <c r="BI24" t="s">
        <v>7</v>
      </c>
      <c r="BJ24" t="s">
        <v>7</v>
      </c>
      <c r="BK24" t="s">
        <v>7</v>
      </c>
      <c r="BL24" t="s">
        <v>7</v>
      </c>
      <c r="BM24" t="s">
        <v>7</v>
      </c>
      <c r="BN24" t="s">
        <v>7</v>
      </c>
      <c r="BO24" t="s">
        <v>7</v>
      </c>
      <c r="BP24" t="s">
        <v>7</v>
      </c>
      <c r="BQ24" t="s">
        <v>7</v>
      </c>
      <c r="BR24" t="s">
        <v>7</v>
      </c>
      <c r="BS24" t="s">
        <v>7</v>
      </c>
      <c r="BT24" t="s">
        <v>7</v>
      </c>
      <c r="BU24" s="4" t="str">
        <f>HYPERLINK("http://exon.niaid.nih.gov/transcriptome/C_felis/S2/links/KOG/Cf-31-KOG.txt","Uncharacterized conserved protein, contains laminin, cadherin and EGF domains")</f>
        <v>Uncharacterized conserved protein, contains laminin, cadherin and EGF domains</v>
      </c>
      <c r="BV24" t="str">
        <f>HYPERLINK("http://www.ncbi.nlm.nih.gov/COG/grace/shokog.cgi?KOG1219","0.52")</f>
        <v>0.52</v>
      </c>
      <c r="BW24" t="s">
        <v>86</v>
      </c>
      <c r="BX24" t="str">
        <f>HYPERLINK("http://exon.niaid.nih.gov/transcriptome/C_felis/S2/links/KOG/Cf-31-KOG.txt","KOG1219")</f>
        <v>KOG1219</v>
      </c>
      <c r="BY24" s="4" t="str">
        <f>HYPERLINK("http://exon.niaid.nih.gov/transcriptome/C_felis/S2/links/CDD/Cf-31-CDD.txt","AstA")</f>
        <v>AstA</v>
      </c>
      <c r="BZ24" t="str">
        <f>HYPERLINK("http://www.ncbi.nlm.nih.gov/Structure/cdd/cddsrv.cgi?uid=COG3138&amp;version=v4.0","3.1")</f>
        <v>3.1</v>
      </c>
      <c r="CA24" t="s">
        <v>322</v>
      </c>
      <c r="CB24" s="4" t="str">
        <f>HYPERLINK("http://exon.niaid.nih.gov/transcriptome/C_felis/S2/links/PFAM/Cf-31-PFAM.txt","Dam")</f>
        <v>Dam</v>
      </c>
      <c r="CC24" t="str">
        <f>HYPERLINK("http://pfam.sanger.ac.uk/family?acc=PF05869","2.3")</f>
        <v>2.3</v>
      </c>
      <c r="CD24" s="4" t="str">
        <f>HYPERLINK("http://exon.niaid.nih.gov/transcriptome/C_felis/S2/links/SMART/Cf-31-SMART.txt","COG6")</f>
        <v>COG6</v>
      </c>
      <c r="CE24" t="str">
        <f>HYPERLINK("http://smart.embl-heidelberg.de/smart/do_annotation.pl?DOMAIN=COG6&amp;BLAST=DUMMY","1.5")</f>
        <v>1.5</v>
      </c>
      <c r="CF24" s="4" t="s">
        <v>7</v>
      </c>
      <c r="CG24" t="s">
        <v>7</v>
      </c>
      <c r="CH24" t="s">
        <v>7</v>
      </c>
      <c r="CI24" t="s">
        <v>7</v>
      </c>
      <c r="CJ24" t="s">
        <v>7</v>
      </c>
      <c r="CK24" s="7">
        <f t="shared" ref="CK24:CK29" si="14">HYPERLINK("http://exon.niaid.nih.gov/transcriptome/C_felis/S2/links/cluster/cf-pep95-2-Id-CLU1.txt", 1)</f>
        <v>1</v>
      </c>
      <c r="CL24" s="2">
        <f t="shared" ref="CL24:CL29" si="15">HYPERLINK("http://exon.niaid.nih.gov/transcriptome/C_felis/S2/links/cluster/cf-pep95-2-Id-CLTL1.txt", 16)</f>
        <v>16</v>
      </c>
      <c r="CM24" s="7">
        <f t="shared" ref="CM24:CM29" si="16">HYPERLINK("http://exon.niaid.nih.gov/transcriptome/C_felis/S2/links/cluster/cf-pep100-3-Id-CLU1.txt", 1)</f>
        <v>1</v>
      </c>
      <c r="CN24" s="2">
        <f t="shared" ref="CN24:CN29" si="17">HYPERLINK("http://exon.niaid.nih.gov/transcriptome/C_felis/S2/links/cluster/cf-pep100-3-Id-CLTL1.txt", 16)</f>
        <v>16</v>
      </c>
      <c r="CO24" s="7">
        <f t="shared" ref="CO24:CO29" si="18">HYPERLINK("http://exon.niaid.nih.gov/transcriptome/C_felis/S2/links/cluster/cf-pep100-4-Id-CLU1.txt", 1)</f>
        <v>1</v>
      </c>
      <c r="CP24" s="2">
        <f t="shared" ref="CP24:CP29" si="19">HYPERLINK("http://exon.niaid.nih.gov/transcriptome/C_felis/S2/links/cluster/cf-pep100-4-Id-CLTL1.txt", 16)</f>
        <v>16</v>
      </c>
      <c r="CQ24" s="7">
        <f t="shared" si="10"/>
        <v>2</v>
      </c>
      <c r="CR24" s="2">
        <f t="shared" si="11"/>
        <v>34</v>
      </c>
      <c r="CS24" s="7">
        <f t="shared" si="12"/>
        <v>2</v>
      </c>
      <c r="CT24" s="2">
        <f t="shared" si="13"/>
        <v>20</v>
      </c>
      <c r="CU24" s="7">
        <f t="shared" ref="CU24:CU29" si="20">HYPERLINK("http://exon.niaid.nih.gov/transcriptome/C_felis/S2/links/cluster/cf-pep35-50-Sim-CLU2.txt", 2)</f>
        <v>2</v>
      </c>
      <c r="CV24" s="2">
        <f t="shared" ref="CV24:CV29" si="21">HYPERLINK("http://exon.niaid.nih.gov/transcriptome/C_felis/S2/links/cluster/cf-pep35-50-Sim-CLTL2.txt", 18)</f>
        <v>18</v>
      </c>
      <c r="CW24" s="7">
        <f t="shared" ref="CW24:CW29" si="22">HYPERLINK("http://exon.niaid.nih.gov/transcriptome/C_felis/S2/links/cluster/cf-pep40-50-Sim-CLU2.txt", 2)</f>
        <v>2</v>
      </c>
      <c r="CX24" s="2">
        <f t="shared" ref="CX24:CX29" si="23">HYPERLINK("http://exon.niaid.nih.gov/transcriptome/C_felis/S2/links/cluster/cf-pep40-50-Sim-CLTL2.txt", 18)</f>
        <v>18</v>
      </c>
      <c r="CY24" s="7">
        <f t="shared" ref="CY24:CY29" si="24">HYPERLINK("http://exon.niaid.nih.gov/transcriptome/C_felis/S2/links/cluster/cf-pep45-50-Sim-CLU1.txt", 1)</f>
        <v>1</v>
      </c>
      <c r="CZ24" s="2">
        <f t="shared" ref="CZ24:CZ29" si="25">HYPERLINK("http://exon.niaid.nih.gov/transcriptome/C_felis/S2/links/cluster/cf-pep45-50-Sim-CLTL1.txt", 17)</f>
        <v>17</v>
      </c>
      <c r="DA24" s="7">
        <f>HYPERLINK("http://exon.niaid.nih.gov/transcriptome/C_felis/S2/links/cluster/cf-pep50-50-Sim-CLU2.txt", 2)</f>
        <v>2</v>
      </c>
      <c r="DB24" s="2">
        <f>HYPERLINK("http://exon.niaid.nih.gov/transcriptome/C_felis/S2/links/cluster/cf-pep50-50-Sim-CLTL2.txt", 6)</f>
        <v>6</v>
      </c>
      <c r="DC24" s="7">
        <f>HYPERLINK("http://exon.niaid.nih.gov/transcriptome/C_felis/S2/links/cluster/cf-pep55-50-Sim-CLU2.txt", 2)</f>
        <v>2</v>
      </c>
      <c r="DD24" s="2">
        <f>HYPERLINK("http://exon.niaid.nih.gov/transcriptome/C_felis/S2/links/cluster/cf-pep55-50-Sim-CLTL2.txt", 6)</f>
        <v>6</v>
      </c>
      <c r="DE24" s="7">
        <f>HYPERLINK("http://exon.niaid.nih.gov/transcriptome/C_felis/S2/links/cluster/cf-pep60-50-Sim-CLU2.txt", 2)</f>
        <v>2</v>
      </c>
      <c r="DF24" s="2">
        <f>HYPERLINK("http://exon.niaid.nih.gov/transcriptome/C_felis/S2/links/cluster/cf-pep60-50-Sim-CLTL2.txt", 6)</f>
        <v>6</v>
      </c>
      <c r="DG24" s="7">
        <f>HYPERLINK("http://exon.niaid.nih.gov/transcriptome/C_felis/S2/links/cluster/cf-pep65-50-Sim-CLU3.txt", 3)</f>
        <v>3</v>
      </c>
      <c r="DH24" s="2">
        <f>HYPERLINK("http://exon.niaid.nih.gov/transcriptome/C_felis/S2/links/cluster/cf-pep65-50-Sim-CLTL3.txt", 4)</f>
        <v>4</v>
      </c>
      <c r="DI24" s="7">
        <f>HYPERLINK("http://exon.niaid.nih.gov/transcriptome/C_felis/S2/links/cluster/cf-pep70-50-Sim-CLU3.txt", 3)</f>
        <v>3</v>
      </c>
      <c r="DJ24" s="2">
        <f>HYPERLINK("http://exon.niaid.nih.gov/transcriptome/C_felis/S2/links/cluster/cf-pep70-50-Sim-CLTL3.txt", 4)</f>
        <v>4</v>
      </c>
      <c r="DK24" s="7">
        <f>HYPERLINK("http://exon.niaid.nih.gov/transcriptome/C_felis/S2/links/cluster/cf-pep75-50-Sim-CLU3.txt", 3)</f>
        <v>3</v>
      </c>
      <c r="DL24" s="2">
        <f>HYPERLINK("http://exon.niaid.nih.gov/transcriptome/C_felis/S2/links/cluster/cf-pep75-50-Sim-CLTL3.txt", 4)</f>
        <v>4</v>
      </c>
      <c r="DM24" s="7">
        <f>HYPERLINK("http://exon.niaid.nih.gov/transcriptome/C_felis/S2/links/cluster/cf-pep80-50-Sim-CLU3.txt", 3)</f>
        <v>3</v>
      </c>
      <c r="DN24" s="2">
        <f>HYPERLINK("http://exon.niaid.nih.gov/transcriptome/C_felis/S2/links/cluster/cf-pep80-50-Sim-CLTL3.txt", 4)</f>
        <v>4</v>
      </c>
      <c r="DO24" s="7">
        <f>HYPERLINK("http://exon.niaid.nih.gov/transcriptome/C_felis/S2/links/cluster/cf-pep85-50-Sim-CLU7.txt", 7)</f>
        <v>7</v>
      </c>
      <c r="DP24" s="2">
        <f>HYPERLINK("http://exon.niaid.nih.gov/transcriptome/C_felis/S2/links/cluster/cf-pep85-50-Sim-CLTL7.txt", 2)</f>
        <v>2</v>
      </c>
      <c r="DQ24" s="7">
        <f>HYPERLINK("http://exon.niaid.nih.gov/transcriptome/C_felis/S2/links/cluster/cf-pep90-50-Sim-CLU7.txt", 7)</f>
        <v>7</v>
      </c>
      <c r="DR24" s="2">
        <f>HYPERLINK("http://exon.niaid.nih.gov/transcriptome/C_felis/S2/links/cluster/cf-pep90-50-Sim-CLTL7.txt", 2)</f>
        <v>2</v>
      </c>
      <c r="DS24" s="7">
        <f>HYPERLINK("http://exon.niaid.nih.gov/transcriptome/C_felis/S2/links/cluster/cf-pep95-50-Sim-CLU6.txt", 6)</f>
        <v>6</v>
      </c>
      <c r="DT24" s="2">
        <f>HYPERLINK("http://exon.niaid.nih.gov/transcriptome/C_felis/S2/links/cluster/cf-pep95-50-Sim-CLTL6.txt", 2)</f>
        <v>2</v>
      </c>
    </row>
    <row r="25" spans="1:124" x14ac:dyDescent="0.2">
      <c r="A25" t="str">
        <f>HYPERLINK("http://exon.niaid.nih.gov/transcriptome/C_felis/S2/links/pep/Cf-65-pep.txt","Cf-65")</f>
        <v>Cf-65</v>
      </c>
      <c r="B25" s="2">
        <v>4</v>
      </c>
      <c r="C25">
        <v>98</v>
      </c>
      <c r="D25" t="str">
        <f>HYPERLINK("http://exon.niaid.nih.gov/transcriptome/C_felis/S2/links/cds/Cf-65-cds.txt","Cf-65")</f>
        <v>Cf-65</v>
      </c>
      <c r="E25">
        <v>297</v>
      </c>
      <c r="F25" t="s">
        <v>462</v>
      </c>
      <c r="G25">
        <v>0</v>
      </c>
      <c r="I25" s="2" t="s">
        <v>9</v>
      </c>
      <c r="J25" s="2" t="s">
        <v>3</v>
      </c>
      <c r="K25" s="20" t="str">
        <f>HYPERLINK("http://exon.niaid.nih.gov/transcriptome/C_felis/S2/links/Sigp/Cf-65-SigP.txt","SIG")</f>
        <v>SIG</v>
      </c>
      <c r="L25" s="2" t="s">
        <v>560</v>
      </c>
      <c r="M25" s="2">
        <v>11.045999999999999</v>
      </c>
      <c r="N25" s="2">
        <v>8.6199999999999992</v>
      </c>
      <c r="O25" s="2">
        <v>8.77</v>
      </c>
      <c r="P25" s="2">
        <v>8.48</v>
      </c>
      <c r="Q25" s="24" t="s">
        <v>561</v>
      </c>
      <c r="R25" s="20">
        <v>0</v>
      </c>
      <c r="S25" s="2" t="s">
        <v>7</v>
      </c>
      <c r="T25" s="2" t="s">
        <v>7</v>
      </c>
      <c r="U25" s="2" t="s">
        <v>7</v>
      </c>
      <c r="V25" s="2" t="s">
        <v>7</v>
      </c>
      <c r="W25" s="2" t="s">
        <v>7</v>
      </c>
      <c r="X25" s="20" t="str">
        <f>HYPERLINK("http://exon.niaid.nih.gov/transcriptome/C_felis/S2/links/netoglyc/CF-65-netoglyc.txt","0")</f>
        <v>0</v>
      </c>
      <c r="Y25" s="2">
        <v>13.3</v>
      </c>
      <c r="Z25" s="2">
        <v>10.199999999999999</v>
      </c>
      <c r="AA25" s="2">
        <v>2</v>
      </c>
      <c r="AB25" t="s">
        <v>441</v>
      </c>
      <c r="AC25" t="s">
        <v>444</v>
      </c>
      <c r="AD25" t="s">
        <v>462</v>
      </c>
      <c r="AE25" s="2">
        <v>4</v>
      </c>
      <c r="AF25" s="4" t="str">
        <f>HYPERLINK("http://exon.niaid.nih.gov/transcriptome/C_felis/S2/links/NR/Cf-65-NR.txt","FS-H precursor")</f>
        <v>FS-H precursor</v>
      </c>
      <c r="AG25" t="str">
        <f>HYPERLINK("http://www.ncbi.nlm.nih.gov/sutils/blink.cgi?pid=1575479","9E-040")</f>
        <v>9E-040</v>
      </c>
      <c r="AH25" t="str">
        <f>HYPERLINK("http://www.ncbi.nlm.nih.gov/protein/1575479","gi|1575479")</f>
        <v>gi|1575479</v>
      </c>
      <c r="AI25">
        <v>166</v>
      </c>
      <c r="AJ25">
        <v>97</v>
      </c>
      <c r="AK25">
        <v>98</v>
      </c>
      <c r="AL25">
        <v>73</v>
      </c>
      <c r="AM25">
        <v>100</v>
      </c>
      <c r="AN25" t="s">
        <v>85</v>
      </c>
      <c r="AO25" s="4" t="str">
        <f>HYPERLINK("http://exon.niaid.nih.gov/transcriptome/C_felis/S2/links/SWISSP/Cf-65-SWISSP.txt","Salivary antigen 1")</f>
        <v>Salivary antigen 1</v>
      </c>
      <c r="AP25" t="str">
        <f>HYPERLINK("http://www.uniprot.org/uniprot/Q94424","6E-005")</f>
        <v>6E-005</v>
      </c>
      <c r="AQ25" t="s">
        <v>184</v>
      </c>
      <c r="AR25">
        <v>46.2</v>
      </c>
      <c r="AS25">
        <v>95</v>
      </c>
      <c r="AT25">
        <v>176</v>
      </c>
      <c r="AU25">
        <v>30</v>
      </c>
      <c r="AV25">
        <v>55</v>
      </c>
      <c r="AW25" t="s">
        <v>85</v>
      </c>
      <c r="AX25" s="4" t="s">
        <v>7</v>
      </c>
      <c r="AY25" t="s">
        <v>7</v>
      </c>
      <c r="AZ25" t="s">
        <v>7</v>
      </c>
      <c r="BA25" t="s">
        <v>7</v>
      </c>
      <c r="BB25" t="s">
        <v>7</v>
      </c>
      <c r="BC25" t="s">
        <v>7</v>
      </c>
      <c r="BD25" t="s">
        <v>7</v>
      </c>
      <c r="BE25" t="s">
        <v>7</v>
      </c>
      <c r="BF25" t="s">
        <v>7</v>
      </c>
      <c r="BG25" t="s">
        <v>7</v>
      </c>
      <c r="BH25" t="s">
        <v>7</v>
      </c>
      <c r="BI25" t="s">
        <v>7</v>
      </c>
      <c r="BJ25" t="s">
        <v>7</v>
      </c>
      <c r="BK25" t="s">
        <v>7</v>
      </c>
      <c r="BL25" t="s">
        <v>7</v>
      </c>
      <c r="BM25" t="s">
        <v>7</v>
      </c>
      <c r="BN25" t="s">
        <v>7</v>
      </c>
      <c r="BO25" t="s">
        <v>7</v>
      </c>
      <c r="BP25" t="s">
        <v>7</v>
      </c>
      <c r="BQ25" t="s">
        <v>7</v>
      </c>
      <c r="BR25" t="s">
        <v>7</v>
      </c>
      <c r="BS25" t="s">
        <v>7</v>
      </c>
      <c r="BT25" t="s">
        <v>7</v>
      </c>
      <c r="BU25" s="4" t="str">
        <f>HYPERLINK("http://exon.niaid.nih.gov/transcriptome/C_felis/S2/links/KOG/Cf-65-KOG.txt","Uncharacterized conserved protein, contains laminin, cadherin and EGF domains")</f>
        <v>Uncharacterized conserved protein, contains laminin, cadherin and EGF domains</v>
      </c>
      <c r="BV25" t="str">
        <f>HYPERLINK("http://www.ncbi.nlm.nih.gov/COG/grace/shokog.cgi?KOG1219","2.6")</f>
        <v>2.6</v>
      </c>
      <c r="BW25" t="s">
        <v>86</v>
      </c>
      <c r="BX25" t="str">
        <f>HYPERLINK("http://exon.niaid.nih.gov/transcriptome/C_felis/S2/links/KOG/Cf-65-KOG.txt","KOG1219")</f>
        <v>KOG1219</v>
      </c>
      <c r="BY25" s="4" t="str">
        <f>HYPERLINK("http://exon.niaid.nih.gov/transcriptome/C_felis/S2/links/CDD/Cf-65-CDD.txt","ComEC_Rec2")</f>
        <v>ComEC_Rec2</v>
      </c>
      <c r="BZ25" t="str">
        <f>HYPERLINK("http://www.ncbi.nlm.nih.gov/Structure/cdd/cddsrv.cgi?uid=TIGR00361&amp;version=v4.0","0.40")</f>
        <v>0.40</v>
      </c>
      <c r="CA25" t="s">
        <v>384</v>
      </c>
      <c r="CB25" s="4" t="str">
        <f>HYPERLINK("http://exon.niaid.nih.gov/transcriptome/C_felis/S2/links/PFAM/Cf-65-PFAM.txt","Dala_Dala_lig_N")</f>
        <v>Dala_Dala_lig_N</v>
      </c>
      <c r="CC25" t="str">
        <f>HYPERLINK("http://pfam.sanger.ac.uk/family?acc=PF01820","0.51")</f>
        <v>0.51</v>
      </c>
      <c r="CD25" s="4" t="str">
        <f>HYPERLINK("http://exon.niaid.nih.gov/transcriptome/C_felis/S2/links/SMART/Cf-65-SMART.txt","EPH_lbd")</f>
        <v>EPH_lbd</v>
      </c>
      <c r="CE25" t="str">
        <f>HYPERLINK("http://smart.embl-heidelberg.de/smart/do_annotation.pl?DOMAIN=EPH_lbd&amp;BLAST=DUMMY","3.5")</f>
        <v>3.5</v>
      </c>
      <c r="CF25" s="4" t="s">
        <v>7</v>
      </c>
      <c r="CG25" t="s">
        <v>7</v>
      </c>
      <c r="CH25" t="s">
        <v>7</v>
      </c>
      <c r="CI25" t="s">
        <v>7</v>
      </c>
      <c r="CJ25" t="s">
        <v>7</v>
      </c>
      <c r="CK25" s="7">
        <f t="shared" si="14"/>
        <v>1</v>
      </c>
      <c r="CL25" s="2">
        <f t="shared" si="15"/>
        <v>16</v>
      </c>
      <c r="CM25" s="7">
        <f t="shared" si="16"/>
        <v>1</v>
      </c>
      <c r="CN25" s="2">
        <f t="shared" si="17"/>
        <v>16</v>
      </c>
      <c r="CO25" s="7">
        <f t="shared" si="18"/>
        <v>1</v>
      </c>
      <c r="CP25" s="2">
        <f t="shared" si="19"/>
        <v>16</v>
      </c>
      <c r="CQ25" s="7">
        <f t="shared" si="10"/>
        <v>2</v>
      </c>
      <c r="CR25" s="2">
        <f t="shared" si="11"/>
        <v>34</v>
      </c>
      <c r="CS25" s="7">
        <f t="shared" si="12"/>
        <v>2</v>
      </c>
      <c r="CT25" s="2">
        <f t="shared" si="13"/>
        <v>20</v>
      </c>
      <c r="CU25" s="7">
        <f t="shared" si="20"/>
        <v>2</v>
      </c>
      <c r="CV25" s="2">
        <f t="shared" si="21"/>
        <v>18</v>
      </c>
      <c r="CW25" s="7">
        <f t="shared" si="22"/>
        <v>2</v>
      </c>
      <c r="CX25" s="2">
        <f t="shared" si="23"/>
        <v>18</v>
      </c>
      <c r="CY25" s="7">
        <f t="shared" si="24"/>
        <v>1</v>
      </c>
      <c r="CZ25" s="2">
        <f t="shared" si="25"/>
        <v>17</v>
      </c>
      <c r="DA25" s="7">
        <v>142</v>
      </c>
      <c r="DB25" s="2">
        <v>1</v>
      </c>
      <c r="DC25" s="7">
        <v>144</v>
      </c>
      <c r="DD25" s="2">
        <v>1</v>
      </c>
      <c r="DE25" s="7">
        <v>147</v>
      </c>
      <c r="DF25" s="2">
        <v>1</v>
      </c>
      <c r="DG25" s="7">
        <v>151</v>
      </c>
      <c r="DH25" s="2">
        <v>1</v>
      </c>
      <c r="DI25" s="7">
        <v>152</v>
      </c>
      <c r="DJ25" s="2">
        <v>1</v>
      </c>
      <c r="DK25" s="7">
        <v>154</v>
      </c>
      <c r="DL25" s="2">
        <v>1</v>
      </c>
      <c r="DM25" s="7">
        <v>156</v>
      </c>
      <c r="DN25" s="2">
        <v>1</v>
      </c>
      <c r="DO25" s="7">
        <v>160</v>
      </c>
      <c r="DP25" s="2">
        <v>1</v>
      </c>
      <c r="DQ25" s="7">
        <v>162</v>
      </c>
      <c r="DR25" s="2">
        <v>1</v>
      </c>
      <c r="DS25" s="7">
        <v>164</v>
      </c>
      <c r="DT25" s="2">
        <v>1</v>
      </c>
    </row>
    <row r="26" spans="1:124" x14ac:dyDescent="0.2">
      <c r="A26" t="str">
        <f>HYPERLINK("http://exon.niaid.nih.gov/transcriptome/C_felis/S2/links/pep/Cf-12-pep.txt","Cf-12")</f>
        <v>Cf-12</v>
      </c>
      <c r="B26" s="2">
        <v>76</v>
      </c>
      <c r="C26">
        <v>81</v>
      </c>
      <c r="D26" t="str">
        <f>HYPERLINK("http://exon.niaid.nih.gov/transcriptome/C_felis/S2/links/cds/Cf-12-cds.txt","Cf-12")</f>
        <v>Cf-12</v>
      </c>
      <c r="E26">
        <v>246</v>
      </c>
      <c r="F26" t="s">
        <v>462</v>
      </c>
      <c r="G26">
        <v>0</v>
      </c>
      <c r="I26" s="2" t="s">
        <v>9</v>
      </c>
      <c r="J26" s="2" t="s">
        <v>3</v>
      </c>
      <c r="K26" s="20" t="str">
        <f>HYPERLINK("http://exon.niaid.nih.gov/transcriptome/C_felis/S2/links/Sigp/Cf-12-SigP.txt","SIG")</f>
        <v>SIG</v>
      </c>
      <c r="L26" s="2" t="s">
        <v>560</v>
      </c>
      <c r="M26" s="2">
        <v>8.9749999999999996</v>
      </c>
      <c r="N26" s="2">
        <v>8.9</v>
      </c>
      <c r="O26" s="2">
        <v>6.8220000000000001</v>
      </c>
      <c r="P26" s="2">
        <v>8.82</v>
      </c>
      <c r="Q26" s="24" t="s">
        <v>562</v>
      </c>
      <c r="R26" s="20" t="str">
        <f>HYPERLINK("http://exon.niaid.nih.gov/transcriptome/C_felis/S2/links/tmhmm/CF-12-tmhmm.txt","1")</f>
        <v>1</v>
      </c>
      <c r="S26" s="2">
        <v>21</v>
      </c>
      <c r="T26" s="2">
        <v>4.9000000000000004</v>
      </c>
      <c r="U26" s="2">
        <v>74.099999999999994</v>
      </c>
      <c r="V26" s="2" t="s">
        <v>7</v>
      </c>
      <c r="W26" s="2">
        <v>60</v>
      </c>
      <c r="X26" s="20" t="str">
        <f>HYPERLINK("http://exon.niaid.nih.gov/transcriptome/C_felis/S2/links/netoglyc/CF-12-netoglyc.txt","0")</f>
        <v>0</v>
      </c>
      <c r="Y26" s="2">
        <v>12.3</v>
      </c>
      <c r="Z26" s="2">
        <v>8.6</v>
      </c>
      <c r="AA26" s="2">
        <v>2.5</v>
      </c>
      <c r="AB26" t="s">
        <v>441</v>
      </c>
      <c r="AC26" t="s">
        <v>461</v>
      </c>
      <c r="AD26" t="s">
        <v>462</v>
      </c>
      <c r="AE26" s="2">
        <v>76</v>
      </c>
      <c r="AF26" s="4" t="str">
        <f>HYPERLINK("http://exon.niaid.nih.gov/transcriptome/C_felis/S2/links/NR/Cf-12-NR.txt","putative secreted salivary protein")</f>
        <v>putative secreted salivary protein</v>
      </c>
      <c r="AG26" t="str">
        <f>HYPERLINK("http://www.ncbi.nlm.nih.gov/sutils/blink.cgi?pid=121511950","9E-013")</f>
        <v>9E-013</v>
      </c>
      <c r="AH26" t="str">
        <f>HYPERLINK("http://www.ncbi.nlm.nih.gov/protein/121511950","gi|121511950")</f>
        <v>gi|121511950</v>
      </c>
      <c r="AI26">
        <v>77</v>
      </c>
      <c r="AJ26">
        <v>73</v>
      </c>
      <c r="AK26">
        <v>74</v>
      </c>
      <c r="AL26">
        <v>45</v>
      </c>
      <c r="AM26">
        <v>100</v>
      </c>
      <c r="AN26" t="s">
        <v>63</v>
      </c>
      <c r="AO26" s="4" t="str">
        <f>HYPERLINK("http://exon.niaid.nih.gov/transcriptome/C_felis/S2/links/SWISSP/Cf-12-SWISSP.txt","Balbiani ring protein 3")</f>
        <v>Balbiani ring protein 3</v>
      </c>
      <c r="AP26" t="str">
        <f>HYPERLINK("http://www.uniprot.org/uniprot/Q03376","0.50")</f>
        <v>0.50</v>
      </c>
      <c r="AQ26" t="s">
        <v>156</v>
      </c>
      <c r="AR26">
        <v>33.1</v>
      </c>
      <c r="AS26">
        <v>1508</v>
      </c>
      <c r="AT26">
        <v>1700</v>
      </c>
      <c r="AU26">
        <v>40</v>
      </c>
      <c r="AV26">
        <v>89</v>
      </c>
      <c r="AW26" t="s">
        <v>157</v>
      </c>
      <c r="AX26" s="4" t="s">
        <v>7</v>
      </c>
      <c r="AY26" t="s">
        <v>7</v>
      </c>
      <c r="AZ26" t="s">
        <v>7</v>
      </c>
      <c r="BA26" t="s">
        <v>7</v>
      </c>
      <c r="BB26" t="s">
        <v>7</v>
      </c>
      <c r="BC26" t="s">
        <v>7</v>
      </c>
      <c r="BD26" t="s">
        <v>7</v>
      </c>
      <c r="BE26" t="s">
        <v>7</v>
      </c>
      <c r="BF26" t="s">
        <v>7</v>
      </c>
      <c r="BG26" t="s">
        <v>7</v>
      </c>
      <c r="BH26" t="s">
        <v>7</v>
      </c>
      <c r="BI26" t="s">
        <v>7</v>
      </c>
      <c r="BJ26" t="s">
        <v>7</v>
      </c>
      <c r="BK26" t="s">
        <v>7</v>
      </c>
      <c r="BL26" t="s">
        <v>7</v>
      </c>
      <c r="BM26" t="s">
        <v>7</v>
      </c>
      <c r="BN26" t="s">
        <v>7</v>
      </c>
      <c r="BO26" t="s">
        <v>7</v>
      </c>
      <c r="BP26" t="s">
        <v>7</v>
      </c>
      <c r="BQ26" t="s">
        <v>7</v>
      </c>
      <c r="BR26" t="s">
        <v>7</v>
      </c>
      <c r="BS26" t="s">
        <v>7</v>
      </c>
      <c r="BT26" t="s">
        <v>7</v>
      </c>
      <c r="BU26" s="4" t="str">
        <f>HYPERLINK("http://exon.niaid.nih.gov/transcriptome/C_felis/S2/links/KOG/Cf-12-KOG.txt","Oligosaccharyltransferase, STT3 subunit")</f>
        <v>Oligosaccharyltransferase, STT3 subunit</v>
      </c>
      <c r="BV26" t="str">
        <f>HYPERLINK("http://www.ncbi.nlm.nih.gov/COG/grace/shokog.cgi?KOG2292","0.73")</f>
        <v>0.73</v>
      </c>
      <c r="BW26" t="s">
        <v>158</v>
      </c>
      <c r="BX26" t="str">
        <f>HYPERLINK("http://exon.niaid.nih.gov/transcriptome/C_felis/S2/links/KOG/Cf-12-KOG.txt","KOG2292")</f>
        <v>KOG2292</v>
      </c>
      <c r="BY26" s="4" t="str">
        <f>HYPERLINK("http://exon.niaid.nih.gov/transcriptome/C_felis/S2/links/CDD/Cf-12-CDD.txt","Arch_flagellin")</f>
        <v>Arch_flagellin</v>
      </c>
      <c r="BZ26" t="str">
        <f>HYPERLINK("http://www.ncbi.nlm.nih.gov/Structure/cdd/cddsrv.cgi?uid=pfam01917&amp;version=v4.0","0.73")</f>
        <v>0.73</v>
      </c>
      <c r="CA26" t="s">
        <v>159</v>
      </c>
      <c r="CB26" s="4" t="str">
        <f>HYPERLINK("http://exon.niaid.nih.gov/transcriptome/C_felis/S2/links/PFAM/Cf-12-PFAM.txt","Arch_flagellin")</f>
        <v>Arch_flagellin</v>
      </c>
      <c r="CC26" t="str">
        <f>HYPERLINK("http://pfam.sanger.ac.uk/family?acc=PF01917","0.16")</f>
        <v>0.16</v>
      </c>
      <c r="CD26" s="4" t="str">
        <f>HYPERLINK("http://exon.niaid.nih.gov/transcriptome/C_felis/S2/links/SMART/Cf-12-SMART.txt","TLC")</f>
        <v>TLC</v>
      </c>
      <c r="CE26" t="str">
        <f>HYPERLINK("http://smart.embl-heidelberg.de/smart/do_annotation.pl?DOMAIN=TLC&amp;BLAST=DUMMY","1.4")</f>
        <v>1.4</v>
      </c>
      <c r="CF26" s="4" t="s">
        <v>7</v>
      </c>
      <c r="CG26" t="s">
        <v>7</v>
      </c>
      <c r="CH26" t="s">
        <v>7</v>
      </c>
      <c r="CI26" t="s">
        <v>7</v>
      </c>
      <c r="CJ26" t="s">
        <v>7</v>
      </c>
      <c r="CK26" s="7">
        <f t="shared" si="14"/>
        <v>1</v>
      </c>
      <c r="CL26" s="2">
        <f t="shared" si="15"/>
        <v>16</v>
      </c>
      <c r="CM26" s="7">
        <f t="shared" si="16"/>
        <v>1</v>
      </c>
      <c r="CN26" s="2">
        <f t="shared" si="17"/>
        <v>16</v>
      </c>
      <c r="CO26" s="7">
        <f t="shared" si="18"/>
        <v>1</v>
      </c>
      <c r="CP26" s="2">
        <f t="shared" si="19"/>
        <v>16</v>
      </c>
      <c r="CQ26" s="7">
        <f t="shared" si="10"/>
        <v>2</v>
      </c>
      <c r="CR26" s="2">
        <f t="shared" si="11"/>
        <v>34</v>
      </c>
      <c r="CS26" s="7">
        <f t="shared" si="12"/>
        <v>2</v>
      </c>
      <c r="CT26" s="2">
        <f t="shared" si="13"/>
        <v>20</v>
      </c>
      <c r="CU26" s="7">
        <f t="shared" si="20"/>
        <v>2</v>
      </c>
      <c r="CV26" s="2">
        <f t="shared" si="21"/>
        <v>18</v>
      </c>
      <c r="CW26" s="7">
        <f t="shared" si="22"/>
        <v>2</v>
      </c>
      <c r="CX26" s="2">
        <f t="shared" si="23"/>
        <v>18</v>
      </c>
      <c r="CY26" s="7">
        <f t="shared" si="24"/>
        <v>1</v>
      </c>
      <c r="CZ26" s="2">
        <f t="shared" si="25"/>
        <v>17</v>
      </c>
      <c r="DA26" s="7">
        <f>HYPERLINK("http://exon.niaid.nih.gov/transcriptome/C_felis/S2/links/cluster/cf-pep50-50-Sim-CLU1.txt", 1)</f>
        <v>1</v>
      </c>
      <c r="DB26" s="2">
        <f>HYPERLINK("http://exon.niaid.nih.gov/transcriptome/C_felis/S2/links/cluster/cf-pep50-50-Sim-CLTL1.txt", 7)</f>
        <v>7</v>
      </c>
      <c r="DC26" s="7">
        <f>HYPERLINK("http://exon.niaid.nih.gov/transcriptome/C_felis/S2/links/cluster/cf-pep55-50-Sim-CLU1.txt", 1)</f>
        <v>1</v>
      </c>
      <c r="DD26" s="2">
        <f>HYPERLINK("http://exon.niaid.nih.gov/transcriptome/C_felis/S2/links/cluster/cf-pep55-50-Sim-CLTL1.txt", 7)</f>
        <v>7</v>
      </c>
      <c r="DE26" s="7">
        <f>HYPERLINK("http://exon.niaid.nih.gov/transcriptome/C_felis/S2/links/cluster/cf-pep60-50-Sim-CLU1.txt", 1)</f>
        <v>1</v>
      </c>
      <c r="DF26" s="2">
        <f>HYPERLINK("http://exon.niaid.nih.gov/transcriptome/C_felis/S2/links/cluster/cf-pep60-50-Sim-CLTL1.txt", 7)</f>
        <v>7</v>
      </c>
      <c r="DG26" s="7">
        <f>HYPERLINK("http://exon.niaid.nih.gov/transcriptome/C_felis/S2/links/cluster/cf-pep65-50-Sim-CLU1.txt", 1)</f>
        <v>1</v>
      </c>
      <c r="DH26" s="2">
        <f>HYPERLINK("http://exon.niaid.nih.gov/transcriptome/C_felis/S2/links/cluster/cf-pep65-50-Sim-CLTL1.txt", 7)</f>
        <v>7</v>
      </c>
      <c r="DI26" s="7">
        <f>HYPERLINK("http://exon.niaid.nih.gov/transcriptome/C_felis/S2/links/cluster/cf-pep70-50-Sim-CLU2.txt", 2)</f>
        <v>2</v>
      </c>
      <c r="DJ26" s="2">
        <f>HYPERLINK("http://exon.niaid.nih.gov/transcriptome/C_felis/S2/links/cluster/cf-pep70-50-Sim-CLTL2.txt", 4)</f>
        <v>4</v>
      </c>
      <c r="DK26" s="7">
        <f>HYPERLINK("http://exon.niaid.nih.gov/transcriptome/C_felis/S2/links/cluster/cf-pep75-50-Sim-CLU2.txt", 2)</f>
        <v>2</v>
      </c>
      <c r="DL26" s="2">
        <f>HYPERLINK("http://exon.niaid.nih.gov/transcriptome/C_felis/S2/links/cluster/cf-pep75-50-Sim-CLTL2.txt", 4)</f>
        <v>4</v>
      </c>
      <c r="DM26" s="7">
        <f>HYPERLINK("http://exon.niaid.nih.gov/transcriptome/C_felis/S2/links/cluster/cf-pep80-50-Sim-CLU2.txt", 2)</f>
        <v>2</v>
      </c>
      <c r="DN26" s="2">
        <f>HYPERLINK("http://exon.niaid.nih.gov/transcriptome/C_felis/S2/links/cluster/cf-pep80-50-Sim-CLTL2.txt", 4)</f>
        <v>4</v>
      </c>
      <c r="DO26" s="7">
        <f>HYPERLINK("http://exon.niaid.nih.gov/transcriptome/C_felis/S2/links/cluster/cf-pep85-50-Sim-CLU3.txt", 3)</f>
        <v>3</v>
      </c>
      <c r="DP26" s="2">
        <f>HYPERLINK("http://exon.niaid.nih.gov/transcriptome/C_felis/S2/links/cluster/cf-pep85-50-Sim-CLTL3.txt", 3)</f>
        <v>3</v>
      </c>
      <c r="DQ26" s="7">
        <f>HYPERLINK("http://exon.niaid.nih.gov/transcriptome/C_felis/S2/links/cluster/cf-pep90-50-Sim-CLU4.txt", 4)</f>
        <v>4</v>
      </c>
      <c r="DR26" s="2">
        <f>HYPERLINK("http://exon.niaid.nih.gov/transcriptome/C_felis/S2/links/cluster/cf-pep90-50-Sim-CLTL4.txt", 2)</f>
        <v>2</v>
      </c>
      <c r="DS26" s="7">
        <f>HYPERLINK("http://exon.niaid.nih.gov/transcriptome/C_felis/S2/links/cluster/cf-pep95-50-Sim-CLU3.txt", 3)</f>
        <v>3</v>
      </c>
      <c r="DT26" s="2">
        <f>HYPERLINK("http://exon.niaid.nih.gov/transcriptome/C_felis/S2/links/cluster/cf-pep95-50-Sim-CLTL3.txt", 2)</f>
        <v>2</v>
      </c>
    </row>
    <row r="27" spans="1:124" x14ac:dyDescent="0.2">
      <c r="A27" t="str">
        <f>HYPERLINK("http://exon.niaid.nih.gov/transcriptome/C_felis/S2/links/pep/Cf-15-pep.txt","Cf-15")</f>
        <v>Cf-15</v>
      </c>
      <c r="B27" s="2">
        <v>14</v>
      </c>
      <c r="C27">
        <v>56</v>
      </c>
      <c r="D27" t="str">
        <f>HYPERLINK("http://exon.niaid.nih.gov/transcriptome/C_felis/S2/links/cds/Cf-15-cds.txt","Cf-15")</f>
        <v>Cf-15</v>
      </c>
      <c r="E27">
        <v>171</v>
      </c>
      <c r="F27" t="s">
        <v>439</v>
      </c>
      <c r="G27">
        <v>0</v>
      </c>
      <c r="I27" s="2" t="s">
        <v>5</v>
      </c>
      <c r="J27" s="2" t="s">
        <v>3</v>
      </c>
      <c r="K27" s="20" t="str">
        <f>HYPERLINK("http://exon.niaid.nih.gov/transcriptome/C_felis/S2/links/Sigp/Cf-15-SigP.txt","CYT")</f>
        <v>CYT</v>
      </c>
      <c r="L27" s="2" t="s">
        <v>7</v>
      </c>
      <c r="M27" s="2">
        <v>6.2080000000000002</v>
      </c>
      <c r="N27" s="2">
        <v>8.77</v>
      </c>
      <c r="O27" s="2" t="s">
        <v>7</v>
      </c>
      <c r="P27" s="2" t="s">
        <v>7</v>
      </c>
      <c r="Q27" s="24" t="s">
        <v>556</v>
      </c>
      <c r="R27" s="20">
        <v>0</v>
      </c>
      <c r="S27" s="2" t="s">
        <v>7</v>
      </c>
      <c r="T27" s="2" t="s">
        <v>7</v>
      </c>
      <c r="U27" s="2" t="s">
        <v>7</v>
      </c>
      <c r="V27" s="2" t="s">
        <v>7</v>
      </c>
      <c r="W27" s="2" t="s">
        <v>7</v>
      </c>
      <c r="X27" s="20" t="str">
        <f>HYPERLINK("http://exon.niaid.nih.gov/transcriptome/C_felis/S2/links/netoglyc/CF-15-netoglyc.txt","1")</f>
        <v>1</v>
      </c>
      <c r="Y27" s="2">
        <v>10.7</v>
      </c>
      <c r="Z27" s="2">
        <v>10.7</v>
      </c>
      <c r="AA27" s="2">
        <v>5.4</v>
      </c>
      <c r="AB27" t="s">
        <v>441</v>
      </c>
      <c r="AC27" t="s">
        <v>461</v>
      </c>
      <c r="AD27" t="s">
        <v>439</v>
      </c>
      <c r="AE27" s="2">
        <v>14</v>
      </c>
      <c r="AF27" s="4" t="str">
        <f>HYPERLINK("http://exon.niaid.nih.gov/transcriptome/C_felis/S2/links/NR/Cf-15-NR.txt","putative secreted salivary protein")</f>
        <v>putative secreted salivary protein</v>
      </c>
      <c r="AG27" t="str">
        <f>HYPERLINK("http://www.ncbi.nlm.nih.gov/sutils/blink.cgi?pid=121511950","3E-004")</f>
        <v>3E-004</v>
      </c>
      <c r="AH27" t="str">
        <f>HYPERLINK("http://www.ncbi.nlm.nih.gov/protein/121511950","gi|121511950")</f>
        <v>gi|121511950</v>
      </c>
      <c r="AI27">
        <v>48.5</v>
      </c>
      <c r="AJ27">
        <v>47</v>
      </c>
      <c r="AK27">
        <v>74</v>
      </c>
      <c r="AL27">
        <v>43</v>
      </c>
      <c r="AM27">
        <v>65</v>
      </c>
      <c r="AN27" t="s">
        <v>63</v>
      </c>
      <c r="AO27" s="4" t="str">
        <f>HYPERLINK("http://exon.niaid.nih.gov/transcriptome/C_felis/S2/links/SWISSP/Cf-15-SWISSP.txt","Salivary antigen 1")</f>
        <v>Salivary antigen 1</v>
      </c>
      <c r="AP27" t="str">
        <f>HYPERLINK("http://www.uniprot.org/uniprot/Q94424","1.1")</f>
        <v>1.1</v>
      </c>
      <c r="AQ27" t="s">
        <v>184</v>
      </c>
      <c r="AR27">
        <v>32</v>
      </c>
      <c r="AS27">
        <v>128</v>
      </c>
      <c r="AT27">
        <v>176</v>
      </c>
      <c r="AU27">
        <v>38</v>
      </c>
      <c r="AV27">
        <v>73</v>
      </c>
      <c r="AW27" t="s">
        <v>85</v>
      </c>
      <c r="AX27" s="4" t="s">
        <v>7</v>
      </c>
      <c r="AY27" t="s">
        <v>7</v>
      </c>
      <c r="AZ27" t="s">
        <v>7</v>
      </c>
      <c r="BA27" t="s">
        <v>7</v>
      </c>
      <c r="BB27" t="s">
        <v>7</v>
      </c>
      <c r="BC27" t="s">
        <v>7</v>
      </c>
      <c r="BD27" t="s">
        <v>7</v>
      </c>
      <c r="BE27" t="s">
        <v>7</v>
      </c>
      <c r="BF27" t="s">
        <v>7</v>
      </c>
      <c r="BG27" t="s">
        <v>7</v>
      </c>
      <c r="BH27" t="s">
        <v>7</v>
      </c>
      <c r="BI27" t="s">
        <v>7</v>
      </c>
      <c r="BJ27" t="s">
        <v>7</v>
      </c>
      <c r="BK27" t="s">
        <v>7</v>
      </c>
      <c r="BL27" t="s">
        <v>7</v>
      </c>
      <c r="BM27" t="s">
        <v>7</v>
      </c>
      <c r="BN27" t="s">
        <v>7</v>
      </c>
      <c r="BO27" t="s">
        <v>7</v>
      </c>
      <c r="BP27" t="s">
        <v>7</v>
      </c>
      <c r="BQ27" t="s">
        <v>7</v>
      </c>
      <c r="BR27" t="s">
        <v>7</v>
      </c>
      <c r="BS27" t="s">
        <v>7</v>
      </c>
      <c r="BT27" t="s">
        <v>7</v>
      </c>
      <c r="BU27" s="4" t="str">
        <f>HYPERLINK("http://exon.niaid.nih.gov/transcriptome/C_felis/S2/links/KOG/Cf-15-KOG.txt","Acetylglucosaminyltransferase EXT1/exostosin 1")</f>
        <v>Acetylglucosaminyltransferase EXT1/exostosin 1</v>
      </c>
      <c r="BV27" t="str">
        <f>HYPERLINK("http://www.ncbi.nlm.nih.gov/COG/grace/shokog.cgi?KOG1021","4.5")</f>
        <v>4.5</v>
      </c>
      <c r="BW27" t="s">
        <v>185</v>
      </c>
      <c r="BX27" t="str">
        <f>HYPERLINK("http://exon.niaid.nih.gov/transcriptome/C_felis/S2/links/KOG/Cf-15-KOG.txt","KOG1021")</f>
        <v>KOG1021</v>
      </c>
      <c r="BY27" s="4" t="s">
        <v>7</v>
      </c>
      <c r="BZ27" t="s">
        <v>7</v>
      </c>
      <c r="CA27" t="s">
        <v>7</v>
      </c>
      <c r="CB27" s="4" t="str">
        <f>HYPERLINK("http://exon.niaid.nih.gov/transcriptome/C_felis/S2/links/PFAM/Cf-15-PFAM.txt","Chorion_2")</f>
        <v>Chorion_2</v>
      </c>
      <c r="CC27" t="str">
        <f>HYPERLINK("http://pfam.sanger.ac.uk/family?acc=PF03964","7.5")</f>
        <v>7.5</v>
      </c>
      <c r="CD27" s="4" t="str">
        <f>HYPERLINK("http://exon.niaid.nih.gov/transcriptome/C_felis/S2/links/SMART/Cf-15-SMART.txt","HTH_ASNC")</f>
        <v>HTH_ASNC</v>
      </c>
      <c r="CE27" t="str">
        <f>HYPERLINK("http://smart.embl-heidelberg.de/smart/do_annotation.pl?DOMAIN=HTH_ASNC&amp;BLAST=DUMMY","2.9")</f>
        <v>2.9</v>
      </c>
      <c r="CF27" s="4" t="s">
        <v>7</v>
      </c>
      <c r="CG27" t="s">
        <v>7</v>
      </c>
      <c r="CH27" t="s">
        <v>7</v>
      </c>
      <c r="CI27" t="s">
        <v>7</v>
      </c>
      <c r="CJ27" t="s">
        <v>7</v>
      </c>
      <c r="CK27" s="7">
        <f t="shared" si="14"/>
        <v>1</v>
      </c>
      <c r="CL27" s="2">
        <f t="shared" si="15"/>
        <v>16</v>
      </c>
      <c r="CM27" s="7">
        <f t="shared" si="16"/>
        <v>1</v>
      </c>
      <c r="CN27" s="2">
        <f t="shared" si="17"/>
        <v>16</v>
      </c>
      <c r="CO27" s="7">
        <f t="shared" si="18"/>
        <v>1</v>
      </c>
      <c r="CP27" s="2">
        <f t="shared" si="19"/>
        <v>16</v>
      </c>
      <c r="CQ27" s="7">
        <f t="shared" si="10"/>
        <v>2</v>
      </c>
      <c r="CR27" s="2">
        <f t="shared" si="11"/>
        <v>34</v>
      </c>
      <c r="CS27" s="7">
        <f t="shared" si="12"/>
        <v>2</v>
      </c>
      <c r="CT27" s="2">
        <f t="shared" si="13"/>
        <v>20</v>
      </c>
      <c r="CU27" s="7">
        <f t="shared" si="20"/>
        <v>2</v>
      </c>
      <c r="CV27" s="2">
        <f t="shared" si="21"/>
        <v>18</v>
      </c>
      <c r="CW27" s="7">
        <f t="shared" si="22"/>
        <v>2</v>
      </c>
      <c r="CX27" s="2">
        <f t="shared" si="23"/>
        <v>18</v>
      </c>
      <c r="CY27" s="7">
        <f t="shared" si="24"/>
        <v>1</v>
      </c>
      <c r="CZ27" s="2">
        <f t="shared" si="25"/>
        <v>17</v>
      </c>
      <c r="DA27" s="7">
        <f>HYPERLINK("http://exon.niaid.nih.gov/transcriptome/C_felis/S2/links/cluster/cf-pep50-50-Sim-CLU1.txt", 1)</f>
        <v>1</v>
      </c>
      <c r="DB27" s="2">
        <f>HYPERLINK("http://exon.niaid.nih.gov/transcriptome/C_felis/S2/links/cluster/cf-pep50-50-Sim-CLTL1.txt", 7)</f>
        <v>7</v>
      </c>
      <c r="DC27" s="7">
        <f>HYPERLINK("http://exon.niaid.nih.gov/transcriptome/C_felis/S2/links/cluster/cf-pep55-50-Sim-CLU1.txt", 1)</f>
        <v>1</v>
      </c>
      <c r="DD27" s="2">
        <f>HYPERLINK("http://exon.niaid.nih.gov/transcriptome/C_felis/S2/links/cluster/cf-pep55-50-Sim-CLTL1.txt", 7)</f>
        <v>7</v>
      </c>
      <c r="DE27" s="7">
        <f>HYPERLINK("http://exon.niaid.nih.gov/transcriptome/C_felis/S2/links/cluster/cf-pep60-50-Sim-CLU1.txt", 1)</f>
        <v>1</v>
      </c>
      <c r="DF27" s="2">
        <f>HYPERLINK("http://exon.niaid.nih.gov/transcriptome/C_felis/S2/links/cluster/cf-pep60-50-Sim-CLTL1.txt", 7)</f>
        <v>7</v>
      </c>
      <c r="DG27" s="7">
        <f>HYPERLINK("http://exon.niaid.nih.gov/transcriptome/C_felis/S2/links/cluster/cf-pep65-50-Sim-CLU1.txt", 1)</f>
        <v>1</v>
      </c>
      <c r="DH27" s="2">
        <f>HYPERLINK("http://exon.niaid.nih.gov/transcriptome/C_felis/S2/links/cluster/cf-pep65-50-Sim-CLTL1.txt", 7)</f>
        <v>7</v>
      </c>
      <c r="DI27" s="7">
        <f>HYPERLINK("http://exon.niaid.nih.gov/transcriptome/C_felis/S2/links/cluster/cf-pep70-50-Sim-CLU5.txt", 5)</f>
        <v>5</v>
      </c>
      <c r="DJ27" s="2">
        <f>HYPERLINK("http://exon.niaid.nih.gov/transcriptome/C_felis/S2/links/cluster/cf-pep70-50-Sim-CLTL5.txt", 3)</f>
        <v>3</v>
      </c>
      <c r="DK27" s="7">
        <f>HYPERLINK("http://exon.niaid.nih.gov/transcriptome/C_felis/S2/links/cluster/cf-pep75-50-Sim-CLU5.txt", 5)</f>
        <v>5</v>
      </c>
      <c r="DL27" s="2">
        <f>HYPERLINK("http://exon.niaid.nih.gov/transcriptome/C_felis/S2/links/cluster/cf-pep75-50-Sim-CLTL5.txt", 3)</f>
        <v>3</v>
      </c>
      <c r="DM27" s="7">
        <v>28</v>
      </c>
      <c r="DN27" s="2">
        <v>1</v>
      </c>
      <c r="DO27" s="7">
        <v>26</v>
      </c>
      <c r="DP27" s="2">
        <v>1</v>
      </c>
      <c r="DQ27" s="7">
        <v>26</v>
      </c>
      <c r="DR27" s="2">
        <v>1</v>
      </c>
      <c r="DS27" s="7">
        <v>24</v>
      </c>
      <c r="DT27" s="2">
        <v>1</v>
      </c>
    </row>
    <row r="28" spans="1:124" x14ac:dyDescent="0.2">
      <c r="A28" t="str">
        <f>HYPERLINK("http://exon.niaid.nih.gov/transcriptome/C_felis/S2/links/pep/Cf-16-pep.txt","Cf-16")</f>
        <v>Cf-16</v>
      </c>
      <c r="B28" s="2">
        <v>8</v>
      </c>
      <c r="C28">
        <v>57</v>
      </c>
      <c r="D28" t="str">
        <f>HYPERLINK("http://exon.niaid.nih.gov/transcriptome/C_felis/S2/links/cds/Cf-16-cds.txt","Cf-16")</f>
        <v>Cf-16</v>
      </c>
      <c r="E28">
        <v>174</v>
      </c>
      <c r="F28" t="s">
        <v>439</v>
      </c>
      <c r="G28">
        <v>0</v>
      </c>
      <c r="I28" s="2" t="s">
        <v>5</v>
      </c>
      <c r="J28" s="2" t="s">
        <v>3</v>
      </c>
      <c r="K28" s="20" t="str">
        <f>HYPERLINK("http://exon.niaid.nih.gov/transcriptome/C_felis/S2/links/Sigp/Cf-16-SigP.txt","CYT")</f>
        <v>CYT</v>
      </c>
      <c r="L28" s="2" t="s">
        <v>7</v>
      </c>
      <c r="M28" s="2">
        <v>6.1749999999999998</v>
      </c>
      <c r="N28" s="2">
        <v>9.1</v>
      </c>
      <c r="O28" s="2" t="s">
        <v>7</v>
      </c>
      <c r="P28" s="2" t="s">
        <v>7</v>
      </c>
      <c r="Q28" s="24" t="s">
        <v>559</v>
      </c>
      <c r="R28" s="20">
        <v>0</v>
      </c>
      <c r="S28" s="2" t="s">
        <v>7</v>
      </c>
      <c r="T28" s="2" t="s">
        <v>7</v>
      </c>
      <c r="U28" s="2" t="s">
        <v>7</v>
      </c>
      <c r="V28" s="2" t="s">
        <v>7</v>
      </c>
      <c r="W28" s="2" t="s">
        <v>7</v>
      </c>
      <c r="X28" s="20" t="str">
        <f>HYPERLINK("http://exon.niaid.nih.gov/transcriptome/C_felis/S2/links/netoglyc/CF-16-netoglyc.txt","0")</f>
        <v>0</v>
      </c>
      <c r="Y28" s="2">
        <v>17.5</v>
      </c>
      <c r="Z28" s="2">
        <v>12.3</v>
      </c>
      <c r="AA28" s="2">
        <v>5.3</v>
      </c>
      <c r="AB28" t="s">
        <v>441</v>
      </c>
      <c r="AC28" t="s">
        <v>461</v>
      </c>
      <c r="AD28" t="s">
        <v>439</v>
      </c>
      <c r="AE28" s="2">
        <v>8</v>
      </c>
      <c r="AF28" s="4" t="str">
        <f>HYPERLINK("http://exon.niaid.nih.gov/transcriptome/C_felis/S2/links/NR/Cf-16-NR.txt","putative secreted salivary protein")</f>
        <v>putative secreted salivary protein</v>
      </c>
      <c r="AG28" t="str">
        <f>HYPERLINK("http://www.ncbi.nlm.nih.gov/sutils/blink.cgi?pid=121511950","3E-004")</f>
        <v>3E-004</v>
      </c>
      <c r="AH28" t="str">
        <f>HYPERLINK("http://www.ncbi.nlm.nih.gov/protein/121511950","gi|121511950")</f>
        <v>gi|121511950</v>
      </c>
      <c r="AI28">
        <v>48.9</v>
      </c>
      <c r="AJ28">
        <v>46</v>
      </c>
      <c r="AK28">
        <v>74</v>
      </c>
      <c r="AL28">
        <v>41</v>
      </c>
      <c r="AM28">
        <v>64</v>
      </c>
      <c r="AN28" t="s">
        <v>63</v>
      </c>
      <c r="AO28" s="4" t="str">
        <f>HYPERLINK("http://exon.niaid.nih.gov/transcriptome/C_felis/S2/links/SWISSP/Cf-16-SWISSP.txt","Balbiani ring protein 3")</f>
        <v>Balbiani ring protein 3</v>
      </c>
      <c r="AP28" t="str">
        <f>HYPERLINK("http://www.uniprot.org/uniprot/Q03376","3.3")</f>
        <v>3.3</v>
      </c>
      <c r="AQ28" t="s">
        <v>156</v>
      </c>
      <c r="AR28">
        <v>30.4</v>
      </c>
      <c r="AS28">
        <v>787</v>
      </c>
      <c r="AT28">
        <v>1700</v>
      </c>
      <c r="AU28">
        <v>45</v>
      </c>
      <c r="AV28">
        <v>46</v>
      </c>
      <c r="AW28" t="s">
        <v>157</v>
      </c>
      <c r="AX28" s="4" t="s">
        <v>7</v>
      </c>
      <c r="AY28" t="s">
        <v>7</v>
      </c>
      <c r="AZ28" t="s">
        <v>7</v>
      </c>
      <c r="BA28" t="s">
        <v>7</v>
      </c>
      <c r="BB28" t="s">
        <v>7</v>
      </c>
      <c r="BC28" t="s">
        <v>7</v>
      </c>
      <c r="BD28" t="s">
        <v>7</v>
      </c>
      <c r="BE28" t="s">
        <v>7</v>
      </c>
      <c r="BF28" t="s">
        <v>7</v>
      </c>
      <c r="BG28" t="s">
        <v>7</v>
      </c>
      <c r="BH28" t="s">
        <v>7</v>
      </c>
      <c r="BI28" t="s">
        <v>7</v>
      </c>
      <c r="BJ28" t="s">
        <v>7</v>
      </c>
      <c r="BK28" t="s">
        <v>7</v>
      </c>
      <c r="BL28" t="s">
        <v>7</v>
      </c>
      <c r="BM28" t="s">
        <v>7</v>
      </c>
      <c r="BN28" t="s">
        <v>7</v>
      </c>
      <c r="BO28" t="s">
        <v>7</v>
      </c>
      <c r="BP28" t="s">
        <v>7</v>
      </c>
      <c r="BQ28" t="s">
        <v>7</v>
      </c>
      <c r="BR28" t="s">
        <v>7</v>
      </c>
      <c r="BS28" t="s">
        <v>7</v>
      </c>
      <c r="BT28" t="s">
        <v>7</v>
      </c>
      <c r="BU28" s="4" t="str">
        <f>HYPERLINK("http://exon.niaid.nih.gov/transcriptome/C_felis/S2/links/KOG/Cf-16-KOG.txt","Predicted phosphoglycerate mutase")</f>
        <v>Predicted phosphoglycerate mutase</v>
      </c>
      <c r="BV28" t="str">
        <f>HYPERLINK("http://www.ncbi.nlm.nih.gov/COG/grace/shokog.cgi?KOG3734","7.9")</f>
        <v>7.9</v>
      </c>
      <c r="BW28" t="s">
        <v>208</v>
      </c>
      <c r="BX28" t="str">
        <f>HYPERLINK("http://exon.niaid.nih.gov/transcriptome/C_felis/S2/links/KOG/Cf-16-KOG.txt","KOG3734")</f>
        <v>KOG3734</v>
      </c>
      <c r="BY28" s="4" t="str">
        <f>HYPERLINK("http://exon.niaid.nih.gov/transcriptome/C_felis/S2/links/CDD/Cf-16-CDD.txt","DECH_helic")</f>
        <v>DECH_helic</v>
      </c>
      <c r="BZ28" t="str">
        <f>HYPERLINK("http://www.ncbi.nlm.nih.gov/Structure/cdd/cddsrv.cgi?uid=TIGR03817&amp;version=v4.0","2.3")</f>
        <v>2.3</v>
      </c>
      <c r="CA28" t="s">
        <v>209</v>
      </c>
      <c r="CB28" s="4" t="str">
        <f>HYPERLINK("http://exon.niaid.nih.gov/transcriptome/C_felis/S2/links/PFAM/Cf-16-PFAM.txt","Pox_polyA_pol_C")</f>
        <v>Pox_polyA_pol_C</v>
      </c>
      <c r="CC28" t="str">
        <f>HYPERLINK("http://pfam.sanger.ac.uk/family?acc=PF12629","3.9")</f>
        <v>3.9</v>
      </c>
      <c r="CD28" s="4" t="str">
        <f>HYPERLINK("http://exon.niaid.nih.gov/transcriptome/C_felis/S2/links/SMART/Cf-16-SMART.txt","LINK")</f>
        <v>LINK</v>
      </c>
      <c r="CE28" t="str">
        <f>HYPERLINK("http://smart.embl-heidelberg.de/smart/do_annotation.pl?DOMAIN=LINK&amp;BLAST=DUMMY","1.4")</f>
        <v>1.4</v>
      </c>
      <c r="CF28" s="4" t="s">
        <v>7</v>
      </c>
      <c r="CG28" t="s">
        <v>7</v>
      </c>
      <c r="CH28" t="s">
        <v>7</v>
      </c>
      <c r="CI28" t="s">
        <v>7</v>
      </c>
      <c r="CJ28" t="s">
        <v>7</v>
      </c>
      <c r="CK28" s="7">
        <f t="shared" si="14"/>
        <v>1</v>
      </c>
      <c r="CL28" s="2">
        <f t="shared" si="15"/>
        <v>16</v>
      </c>
      <c r="CM28" s="7">
        <f t="shared" si="16"/>
        <v>1</v>
      </c>
      <c r="CN28" s="2">
        <f t="shared" si="17"/>
        <v>16</v>
      </c>
      <c r="CO28" s="7">
        <f t="shared" si="18"/>
        <v>1</v>
      </c>
      <c r="CP28" s="2">
        <f t="shared" si="19"/>
        <v>16</v>
      </c>
      <c r="CQ28" s="7">
        <f t="shared" si="10"/>
        <v>2</v>
      </c>
      <c r="CR28" s="2">
        <f t="shared" si="11"/>
        <v>34</v>
      </c>
      <c r="CS28" s="7">
        <f t="shared" si="12"/>
        <v>2</v>
      </c>
      <c r="CT28" s="2">
        <f t="shared" si="13"/>
        <v>20</v>
      </c>
      <c r="CU28" s="7">
        <f t="shared" si="20"/>
        <v>2</v>
      </c>
      <c r="CV28" s="2">
        <f t="shared" si="21"/>
        <v>18</v>
      </c>
      <c r="CW28" s="7">
        <f t="shared" si="22"/>
        <v>2</v>
      </c>
      <c r="CX28" s="2">
        <f t="shared" si="23"/>
        <v>18</v>
      </c>
      <c r="CY28" s="7">
        <f t="shared" si="24"/>
        <v>1</v>
      </c>
      <c r="CZ28" s="2">
        <f t="shared" si="25"/>
        <v>17</v>
      </c>
      <c r="DA28" s="7">
        <f>HYPERLINK("http://exon.niaid.nih.gov/transcriptome/C_felis/S2/links/cluster/cf-pep50-50-Sim-CLU1.txt", 1)</f>
        <v>1</v>
      </c>
      <c r="DB28" s="2">
        <f>HYPERLINK("http://exon.niaid.nih.gov/transcriptome/C_felis/S2/links/cluster/cf-pep50-50-Sim-CLTL1.txt", 7)</f>
        <v>7</v>
      </c>
      <c r="DC28" s="7">
        <f>HYPERLINK("http://exon.niaid.nih.gov/transcriptome/C_felis/S2/links/cluster/cf-pep55-50-Sim-CLU1.txt", 1)</f>
        <v>1</v>
      </c>
      <c r="DD28" s="2">
        <f>HYPERLINK("http://exon.niaid.nih.gov/transcriptome/C_felis/S2/links/cluster/cf-pep55-50-Sim-CLTL1.txt", 7)</f>
        <v>7</v>
      </c>
      <c r="DE28" s="7">
        <f>HYPERLINK("http://exon.niaid.nih.gov/transcriptome/C_felis/S2/links/cluster/cf-pep60-50-Sim-CLU1.txt", 1)</f>
        <v>1</v>
      </c>
      <c r="DF28" s="2">
        <f>HYPERLINK("http://exon.niaid.nih.gov/transcriptome/C_felis/S2/links/cluster/cf-pep60-50-Sim-CLTL1.txt", 7)</f>
        <v>7</v>
      </c>
      <c r="DG28" s="7">
        <f>HYPERLINK("http://exon.niaid.nih.gov/transcriptome/C_felis/S2/links/cluster/cf-pep65-50-Sim-CLU1.txt", 1)</f>
        <v>1</v>
      </c>
      <c r="DH28" s="2">
        <f>HYPERLINK("http://exon.niaid.nih.gov/transcriptome/C_felis/S2/links/cluster/cf-pep65-50-Sim-CLTL1.txt", 7)</f>
        <v>7</v>
      </c>
      <c r="DI28" s="7">
        <f>HYPERLINK("http://exon.niaid.nih.gov/transcriptome/C_felis/S2/links/cluster/cf-pep70-50-Sim-CLU5.txt", 5)</f>
        <v>5</v>
      </c>
      <c r="DJ28" s="2">
        <f>HYPERLINK("http://exon.niaid.nih.gov/transcriptome/C_felis/S2/links/cluster/cf-pep70-50-Sim-CLTL5.txt", 3)</f>
        <v>3</v>
      </c>
      <c r="DK28" s="7">
        <f>HYPERLINK("http://exon.niaid.nih.gov/transcriptome/C_felis/S2/links/cluster/cf-pep75-50-Sim-CLU5.txt", 5)</f>
        <v>5</v>
      </c>
      <c r="DL28" s="2">
        <f>HYPERLINK("http://exon.niaid.nih.gov/transcriptome/C_felis/S2/links/cluster/cf-pep75-50-Sim-CLTL5.txt", 3)</f>
        <v>3</v>
      </c>
      <c r="DM28" s="7">
        <f>HYPERLINK("http://exon.niaid.nih.gov/transcriptome/C_felis/S2/links/cluster/cf-pep80-50-Sim-CLU7.txt", 7)</f>
        <v>7</v>
      </c>
      <c r="DN28" s="2">
        <f>HYPERLINK("http://exon.niaid.nih.gov/transcriptome/C_felis/S2/links/cluster/cf-pep80-50-Sim-CLTL7.txt", 2)</f>
        <v>2</v>
      </c>
      <c r="DO28" s="7">
        <f>HYPERLINK("http://exon.niaid.nih.gov/transcriptome/C_felis/S2/links/cluster/cf-pep85-50-Sim-CLU6.txt", 6)</f>
        <v>6</v>
      </c>
      <c r="DP28" s="2">
        <f>HYPERLINK("http://exon.niaid.nih.gov/transcriptome/C_felis/S2/links/cluster/cf-pep85-50-Sim-CLTL6.txt", 2)</f>
        <v>2</v>
      </c>
      <c r="DQ28" s="7">
        <f>HYPERLINK("http://exon.niaid.nih.gov/transcriptome/C_felis/S2/links/cluster/cf-pep90-50-Sim-CLU6.txt", 6)</f>
        <v>6</v>
      </c>
      <c r="DR28" s="2">
        <f>HYPERLINK("http://exon.niaid.nih.gov/transcriptome/C_felis/S2/links/cluster/cf-pep90-50-Sim-CLTL6.txt", 2)</f>
        <v>2</v>
      </c>
      <c r="DS28" s="7">
        <v>31</v>
      </c>
      <c r="DT28" s="2">
        <v>1</v>
      </c>
    </row>
    <row r="29" spans="1:124" x14ac:dyDescent="0.2">
      <c r="A29" t="str">
        <f>HYPERLINK("http://exon.niaid.nih.gov/transcriptome/C_felis/S2/links/pep/Cf-14-pep.txt","Cf-14")</f>
        <v>Cf-14</v>
      </c>
      <c r="B29" s="2">
        <v>6</v>
      </c>
      <c r="C29">
        <v>81</v>
      </c>
      <c r="D29" t="str">
        <f>HYPERLINK("http://exon.niaid.nih.gov/transcriptome/C_felis/S2/links/cds/Cf-14-cds.txt","Cf-14")</f>
        <v>Cf-14</v>
      </c>
      <c r="E29">
        <v>246</v>
      </c>
      <c r="F29" t="s">
        <v>462</v>
      </c>
      <c r="G29">
        <v>0</v>
      </c>
      <c r="I29" s="2" t="s">
        <v>9</v>
      </c>
      <c r="J29" s="2" t="s">
        <v>3</v>
      </c>
      <c r="K29" s="20" t="str">
        <f>HYPERLINK("http://exon.niaid.nih.gov/transcriptome/C_felis/S2/links/Sigp/Cf-14-SigP.txt","SIG")</f>
        <v>SIG</v>
      </c>
      <c r="L29" s="2" t="s">
        <v>560</v>
      </c>
      <c r="M29" s="2">
        <v>8.9130000000000003</v>
      </c>
      <c r="N29" s="2">
        <v>9.0299999999999994</v>
      </c>
      <c r="O29" s="2">
        <v>6.76</v>
      </c>
      <c r="P29" s="2">
        <v>8.98</v>
      </c>
      <c r="Q29" s="24" t="s">
        <v>563</v>
      </c>
      <c r="R29" s="20" t="str">
        <f>HYPERLINK("http://exon.niaid.nih.gov/transcriptome/C_felis/S2/links/tmhmm/CF-14-tmhmm.txt","1")</f>
        <v>1</v>
      </c>
      <c r="S29" s="2">
        <v>21</v>
      </c>
      <c r="T29" s="2">
        <v>4.9000000000000004</v>
      </c>
      <c r="U29" s="2">
        <v>74.099999999999994</v>
      </c>
      <c r="V29" s="2" t="s">
        <v>7</v>
      </c>
      <c r="W29" s="2">
        <v>60</v>
      </c>
      <c r="X29" s="20" t="str">
        <f>HYPERLINK("http://exon.niaid.nih.gov/transcriptome/C_felis/S2/links/netoglyc/CF-14-netoglyc.txt","0")</f>
        <v>0</v>
      </c>
      <c r="Y29" s="2">
        <v>13.6</v>
      </c>
      <c r="Z29" s="2">
        <v>8.6</v>
      </c>
      <c r="AA29" s="2">
        <v>3.7</v>
      </c>
      <c r="AB29" t="s">
        <v>441</v>
      </c>
      <c r="AC29" t="s">
        <v>461</v>
      </c>
      <c r="AD29" t="s">
        <v>462</v>
      </c>
      <c r="AE29" s="2">
        <v>6</v>
      </c>
      <c r="AF29" s="4" t="str">
        <f>HYPERLINK("http://exon.niaid.nih.gov/transcriptome/C_felis/S2/links/NR/Cf-14-NR.txt","putative secreted salivary protein")</f>
        <v>putative secreted salivary protein</v>
      </c>
      <c r="AG29" t="str">
        <f>HYPERLINK("http://www.ncbi.nlm.nih.gov/sutils/blink.cgi?pid=121511950","4E-013")</f>
        <v>4E-013</v>
      </c>
      <c r="AH29" t="str">
        <f>HYPERLINK("http://www.ncbi.nlm.nih.gov/protein/121511950","gi|121511950")</f>
        <v>gi|121511950</v>
      </c>
      <c r="AI29">
        <v>78.2</v>
      </c>
      <c r="AJ29">
        <v>73</v>
      </c>
      <c r="AK29">
        <v>74</v>
      </c>
      <c r="AL29">
        <v>44</v>
      </c>
      <c r="AM29">
        <v>100</v>
      </c>
      <c r="AN29" t="s">
        <v>63</v>
      </c>
      <c r="AO29" s="4" t="str">
        <f>HYPERLINK("http://exon.niaid.nih.gov/transcriptome/C_felis/S2/links/SWISSP/Cf-14-SWISSP.txt","Chitin-binding lectin 1")</f>
        <v>Chitin-binding lectin 1</v>
      </c>
      <c r="AP29" t="str">
        <f>HYPERLINK("http://www.uniprot.org/uniprot/Q9S8M0","0.86")</f>
        <v>0.86</v>
      </c>
      <c r="AQ29" t="s">
        <v>172</v>
      </c>
      <c r="AR29">
        <v>32.299999999999997</v>
      </c>
      <c r="AS29">
        <v>211</v>
      </c>
      <c r="AT29">
        <v>323</v>
      </c>
      <c r="AU29">
        <v>33</v>
      </c>
      <c r="AV29">
        <v>66</v>
      </c>
      <c r="AW29" t="s">
        <v>173</v>
      </c>
      <c r="AX29" s="4" t="s">
        <v>7</v>
      </c>
      <c r="AY29" t="s">
        <v>7</v>
      </c>
      <c r="AZ29" t="s">
        <v>7</v>
      </c>
      <c r="BA29" t="s">
        <v>7</v>
      </c>
      <c r="BB29" t="s">
        <v>7</v>
      </c>
      <c r="BC29" t="s">
        <v>7</v>
      </c>
      <c r="BD29" t="s">
        <v>7</v>
      </c>
      <c r="BE29" t="s">
        <v>7</v>
      </c>
      <c r="BF29" t="s">
        <v>7</v>
      </c>
      <c r="BG29" t="s">
        <v>7</v>
      </c>
      <c r="BH29" t="s">
        <v>7</v>
      </c>
      <c r="BI29" t="s">
        <v>7</v>
      </c>
      <c r="BJ29" t="s">
        <v>7</v>
      </c>
      <c r="BK29" t="s">
        <v>7</v>
      </c>
      <c r="BL29" t="s">
        <v>7</v>
      </c>
      <c r="BM29" t="s">
        <v>7</v>
      </c>
      <c r="BN29" t="s">
        <v>7</v>
      </c>
      <c r="BO29" t="s">
        <v>7</v>
      </c>
      <c r="BP29" t="s">
        <v>7</v>
      </c>
      <c r="BQ29" t="s">
        <v>7</v>
      </c>
      <c r="BR29" t="s">
        <v>7</v>
      </c>
      <c r="BS29" t="s">
        <v>7</v>
      </c>
      <c r="BT29" t="s">
        <v>7</v>
      </c>
      <c r="BU29" s="4" t="str">
        <f>HYPERLINK("http://exon.niaid.nih.gov/transcriptome/C_felis/S2/links/KOG/Cf-14-KOG.txt","Peptide exporter, ABC superfamily")</f>
        <v>Peptide exporter, ABC superfamily</v>
      </c>
      <c r="BV29" t="str">
        <f>HYPERLINK("http://www.ncbi.nlm.nih.gov/COG/grace/shokog.cgi?KOG0058","2.0")</f>
        <v>2.0</v>
      </c>
      <c r="BW29" t="s">
        <v>74</v>
      </c>
      <c r="BX29" t="str">
        <f>HYPERLINK("http://exon.niaid.nih.gov/transcriptome/C_felis/S2/links/KOG/Cf-14-KOG.txt","KOG0058")</f>
        <v>KOG0058</v>
      </c>
      <c r="BY29" s="4" t="str">
        <f>HYPERLINK("http://exon.niaid.nih.gov/transcriptome/C_felis/S2/links/CDD/Cf-14-CDD.txt","Arch_flagellin")</f>
        <v>Arch_flagellin</v>
      </c>
      <c r="BZ29" t="str">
        <f>HYPERLINK("http://www.ncbi.nlm.nih.gov/Structure/cdd/cddsrv.cgi?uid=pfam01917&amp;version=v4.0","0.95")</f>
        <v>0.95</v>
      </c>
      <c r="CA29" t="s">
        <v>174</v>
      </c>
      <c r="CB29" s="4" t="str">
        <f>HYPERLINK("http://exon.niaid.nih.gov/transcriptome/C_felis/S2/links/PFAM/Cf-14-PFAM.txt","Arch_flagellin")</f>
        <v>Arch_flagellin</v>
      </c>
      <c r="CC29" t="str">
        <f>HYPERLINK("http://pfam.sanger.ac.uk/family?acc=PF01917","0.20")</f>
        <v>0.20</v>
      </c>
      <c r="CD29" s="4" t="str">
        <f>HYPERLINK("http://exon.niaid.nih.gov/transcriptome/C_felis/S2/links/SMART/Cf-14-SMART.txt","LINK")</f>
        <v>LINK</v>
      </c>
      <c r="CE29" t="str">
        <f>HYPERLINK("http://smart.embl-heidelberg.de/smart/do_annotation.pl?DOMAIN=LINK&amp;BLAST=DUMMY","1.1")</f>
        <v>1.1</v>
      </c>
      <c r="CF29" s="4" t="s">
        <v>7</v>
      </c>
      <c r="CG29" t="s">
        <v>7</v>
      </c>
      <c r="CH29" t="s">
        <v>7</v>
      </c>
      <c r="CI29" t="s">
        <v>7</v>
      </c>
      <c r="CJ29" t="s">
        <v>7</v>
      </c>
      <c r="CK29" s="7">
        <f t="shared" si="14"/>
        <v>1</v>
      </c>
      <c r="CL29" s="2">
        <f t="shared" si="15"/>
        <v>16</v>
      </c>
      <c r="CM29" s="7">
        <f t="shared" si="16"/>
        <v>1</v>
      </c>
      <c r="CN29" s="2">
        <f t="shared" si="17"/>
        <v>16</v>
      </c>
      <c r="CO29" s="7">
        <f t="shared" si="18"/>
        <v>1</v>
      </c>
      <c r="CP29" s="2">
        <f t="shared" si="19"/>
        <v>16</v>
      </c>
      <c r="CQ29" s="7">
        <f t="shared" si="10"/>
        <v>2</v>
      </c>
      <c r="CR29" s="2">
        <f t="shared" si="11"/>
        <v>34</v>
      </c>
      <c r="CS29" s="7">
        <f t="shared" si="12"/>
        <v>2</v>
      </c>
      <c r="CT29" s="2">
        <f t="shared" si="13"/>
        <v>20</v>
      </c>
      <c r="CU29" s="7">
        <f t="shared" si="20"/>
        <v>2</v>
      </c>
      <c r="CV29" s="2">
        <f t="shared" si="21"/>
        <v>18</v>
      </c>
      <c r="CW29" s="7">
        <f t="shared" si="22"/>
        <v>2</v>
      </c>
      <c r="CX29" s="2">
        <f t="shared" si="23"/>
        <v>18</v>
      </c>
      <c r="CY29" s="7">
        <f t="shared" si="24"/>
        <v>1</v>
      </c>
      <c r="CZ29" s="2">
        <f t="shared" si="25"/>
        <v>17</v>
      </c>
      <c r="DA29" s="7">
        <f>HYPERLINK("http://exon.niaid.nih.gov/transcriptome/C_felis/S2/links/cluster/cf-pep50-50-Sim-CLU1.txt", 1)</f>
        <v>1</v>
      </c>
      <c r="DB29" s="2">
        <f>HYPERLINK("http://exon.niaid.nih.gov/transcriptome/C_felis/S2/links/cluster/cf-pep50-50-Sim-CLTL1.txt", 7)</f>
        <v>7</v>
      </c>
      <c r="DC29" s="7">
        <f>HYPERLINK("http://exon.niaid.nih.gov/transcriptome/C_felis/S2/links/cluster/cf-pep55-50-Sim-CLU1.txt", 1)</f>
        <v>1</v>
      </c>
      <c r="DD29" s="2">
        <f>HYPERLINK("http://exon.niaid.nih.gov/transcriptome/C_felis/S2/links/cluster/cf-pep55-50-Sim-CLTL1.txt", 7)</f>
        <v>7</v>
      </c>
      <c r="DE29" s="7">
        <f>HYPERLINK("http://exon.niaid.nih.gov/transcriptome/C_felis/S2/links/cluster/cf-pep60-50-Sim-CLU1.txt", 1)</f>
        <v>1</v>
      </c>
      <c r="DF29" s="2">
        <f>HYPERLINK("http://exon.niaid.nih.gov/transcriptome/C_felis/S2/links/cluster/cf-pep60-50-Sim-CLTL1.txt", 7)</f>
        <v>7</v>
      </c>
      <c r="DG29" s="7">
        <f>HYPERLINK("http://exon.niaid.nih.gov/transcriptome/C_felis/S2/links/cluster/cf-pep65-50-Sim-CLU1.txt", 1)</f>
        <v>1</v>
      </c>
      <c r="DH29" s="2">
        <f>HYPERLINK("http://exon.niaid.nih.gov/transcriptome/C_felis/S2/links/cluster/cf-pep65-50-Sim-CLTL1.txt", 7)</f>
        <v>7</v>
      </c>
      <c r="DI29" s="7">
        <f>HYPERLINK("http://exon.niaid.nih.gov/transcriptome/C_felis/S2/links/cluster/cf-pep70-50-Sim-CLU2.txt", 2)</f>
        <v>2</v>
      </c>
      <c r="DJ29" s="2">
        <f>HYPERLINK("http://exon.niaid.nih.gov/transcriptome/C_felis/S2/links/cluster/cf-pep70-50-Sim-CLTL2.txt", 4)</f>
        <v>4</v>
      </c>
      <c r="DK29" s="7">
        <f>HYPERLINK("http://exon.niaid.nih.gov/transcriptome/C_felis/S2/links/cluster/cf-pep75-50-Sim-CLU2.txt", 2)</f>
        <v>2</v>
      </c>
      <c r="DL29" s="2">
        <f>HYPERLINK("http://exon.niaid.nih.gov/transcriptome/C_felis/S2/links/cluster/cf-pep75-50-Sim-CLTL2.txt", 4)</f>
        <v>4</v>
      </c>
      <c r="DM29" s="7">
        <f>HYPERLINK("http://exon.niaid.nih.gov/transcriptome/C_felis/S2/links/cluster/cf-pep80-50-Sim-CLU2.txt", 2)</f>
        <v>2</v>
      </c>
      <c r="DN29" s="2">
        <f>HYPERLINK("http://exon.niaid.nih.gov/transcriptome/C_felis/S2/links/cluster/cf-pep80-50-Sim-CLTL2.txt", 4)</f>
        <v>4</v>
      </c>
      <c r="DO29" s="7">
        <f>HYPERLINK("http://exon.niaid.nih.gov/transcriptome/C_felis/S2/links/cluster/cf-pep85-50-Sim-CLU3.txt", 3)</f>
        <v>3</v>
      </c>
      <c r="DP29" s="2">
        <f>HYPERLINK("http://exon.niaid.nih.gov/transcriptome/C_felis/S2/links/cluster/cf-pep85-50-Sim-CLTL3.txt", 3)</f>
        <v>3</v>
      </c>
      <c r="DQ29" s="7">
        <v>22</v>
      </c>
      <c r="DR29" s="2">
        <v>1</v>
      </c>
      <c r="DS29" s="7">
        <v>20</v>
      </c>
      <c r="DT29" s="2">
        <v>1</v>
      </c>
    </row>
    <row r="30" spans="1:124" s="3" customFormat="1" x14ac:dyDescent="0.2">
      <c r="A30" s="14" t="s">
        <v>586</v>
      </c>
      <c r="K30" s="1" t="s">
        <v>7</v>
      </c>
      <c r="L30" s="3" t="s">
        <v>7</v>
      </c>
      <c r="M30" s="3" t="s">
        <v>7</v>
      </c>
      <c r="N30" s="3" t="s">
        <v>7</v>
      </c>
      <c r="O30" s="3" t="s">
        <v>7</v>
      </c>
      <c r="P30" s="3" t="s">
        <v>7</v>
      </c>
      <c r="Q30" s="23" t="s">
        <v>7</v>
      </c>
      <c r="R30" s="1" t="s">
        <v>7</v>
      </c>
      <c r="S30" s="3" t="s">
        <v>7</v>
      </c>
      <c r="T30" s="3" t="s">
        <v>7</v>
      </c>
      <c r="U30" s="3" t="s">
        <v>7</v>
      </c>
      <c r="V30" s="3" t="s">
        <v>7</v>
      </c>
      <c r="W30" s="3" t="s">
        <v>7</v>
      </c>
      <c r="X30" s="1" t="s">
        <v>7</v>
      </c>
      <c r="Y30" s="3" t="s">
        <v>7</v>
      </c>
      <c r="Z30" s="3" t="s">
        <v>7</v>
      </c>
      <c r="AA30" s="3" t="s">
        <v>7</v>
      </c>
      <c r="AF30" s="1"/>
      <c r="AO30" s="1"/>
      <c r="AX30" s="1"/>
      <c r="BU30" s="1"/>
      <c r="BY30" s="1"/>
      <c r="CB30" s="1"/>
      <c r="CD30" s="1"/>
      <c r="CF30" s="1"/>
      <c r="CK30" s="6"/>
      <c r="CM30" s="6"/>
      <c r="CO30" s="6"/>
      <c r="CQ30" s="6"/>
      <c r="CS30" s="6"/>
      <c r="CU30" s="6"/>
      <c r="CW30" s="6"/>
      <c r="CY30" s="6"/>
      <c r="DA30" s="6"/>
      <c r="DC30" s="6"/>
      <c r="DE30" s="6"/>
      <c r="DG30" s="6"/>
      <c r="DI30" s="6"/>
      <c r="DK30" s="6"/>
      <c r="DM30" s="6"/>
      <c r="DO30" s="6"/>
      <c r="DQ30" s="6"/>
      <c r="DS30" s="6"/>
    </row>
    <row r="31" spans="1:124" x14ac:dyDescent="0.2">
      <c r="A31" t="str">
        <f>HYPERLINK("http://exon.niaid.nih.gov/transcriptome/C_felis/S2/links/pep/Cf-75-pep.txt","Cf-75")</f>
        <v>Cf-75</v>
      </c>
      <c r="B31" s="2">
        <v>14</v>
      </c>
      <c r="C31">
        <v>69</v>
      </c>
      <c r="D31" t="str">
        <f>HYPERLINK("http://exon.niaid.nih.gov/transcriptome/C_felis/S2/links/cds/Cf-75-cds.txt","Cf-75")</f>
        <v>Cf-75</v>
      </c>
      <c r="E31">
        <v>210</v>
      </c>
      <c r="F31" t="s">
        <v>445</v>
      </c>
      <c r="G31">
        <v>0</v>
      </c>
      <c r="I31" s="2" t="s">
        <v>11</v>
      </c>
      <c r="J31" s="2" t="s">
        <v>3</v>
      </c>
      <c r="K31" s="20" t="str">
        <f>HYPERLINK("http://exon.niaid.nih.gov/transcriptome/C_felis/S2/links/Sigp/Cf-75-SigP.txt","CYT")</f>
        <v>CYT</v>
      </c>
      <c r="L31" s="2" t="s">
        <v>7</v>
      </c>
      <c r="M31" s="2">
        <v>7.6689999999999996</v>
      </c>
      <c r="N31" s="2">
        <v>8.67</v>
      </c>
      <c r="O31" s="2" t="s">
        <v>7</v>
      </c>
      <c r="P31" s="2" t="s">
        <v>7</v>
      </c>
      <c r="Q31" s="24" t="s">
        <v>556</v>
      </c>
      <c r="R31" s="20">
        <v>0</v>
      </c>
      <c r="S31" s="2" t="s">
        <v>7</v>
      </c>
      <c r="T31" s="2" t="s">
        <v>7</v>
      </c>
      <c r="U31" s="2" t="s">
        <v>7</v>
      </c>
      <c r="V31" s="2" t="s">
        <v>7</v>
      </c>
      <c r="W31" s="2" t="s">
        <v>7</v>
      </c>
      <c r="X31" s="20" t="str">
        <f>HYPERLINK("http://exon.niaid.nih.gov/transcriptome/C_felis/S2/links/netoglyc/CF-75-netoglyc.txt","0")</f>
        <v>0</v>
      </c>
      <c r="Y31" s="2">
        <v>15.9</v>
      </c>
      <c r="Z31" s="2">
        <v>8.6999999999999993</v>
      </c>
      <c r="AA31" s="2">
        <v>1.4</v>
      </c>
      <c r="AB31" t="s">
        <v>441</v>
      </c>
      <c r="AC31" t="s">
        <v>455</v>
      </c>
      <c r="AD31" t="s">
        <v>445</v>
      </c>
      <c r="AE31" s="2">
        <v>14</v>
      </c>
      <c r="AF31" s="4" t="str">
        <f>HYPERLINK("http://exon.niaid.nih.gov/transcriptome/C_felis/S2/links/NR/Cf-75-NR.txt","putative secreted salivary protein")</f>
        <v>putative secreted salivary protein</v>
      </c>
      <c r="AG31" t="str">
        <f>HYPERLINK("http://www.ncbi.nlm.nih.gov/sutils/blink.cgi?pid=121512004","8E-019")</f>
        <v>8E-019</v>
      </c>
      <c r="AH31" t="str">
        <f>HYPERLINK("http://www.ncbi.nlm.nih.gov/protein/121512004","gi|121512004")</f>
        <v>gi|121512004</v>
      </c>
      <c r="AI31">
        <v>97.1</v>
      </c>
      <c r="AJ31">
        <v>62</v>
      </c>
      <c r="AK31">
        <v>86</v>
      </c>
      <c r="AL31">
        <v>66</v>
      </c>
      <c r="AM31">
        <v>73</v>
      </c>
      <c r="AN31" t="s">
        <v>63</v>
      </c>
      <c r="AO31" s="4" t="str">
        <f>HYPERLINK("http://exon.niaid.nih.gov/transcriptome/C_felis/S2/links/SWISSP/Cf-75-SWISSP.txt","Putative beta-neurotoxin Td2")</f>
        <v>Putative beta-neurotoxin Td2</v>
      </c>
      <c r="AP31" t="str">
        <f>HYPERLINK("http://www.uniprot.org/uniprot/Q1I179","0.17")</f>
        <v>0.17</v>
      </c>
      <c r="AQ31" t="s">
        <v>394</v>
      </c>
      <c r="AR31">
        <v>34.700000000000003</v>
      </c>
      <c r="AS31">
        <v>35</v>
      </c>
      <c r="AT31">
        <v>86</v>
      </c>
      <c r="AU31">
        <v>44</v>
      </c>
      <c r="AV31">
        <v>42</v>
      </c>
      <c r="AW31" t="s">
        <v>395</v>
      </c>
      <c r="AX31" s="4" t="s">
        <v>7</v>
      </c>
      <c r="AY31" t="s">
        <v>7</v>
      </c>
      <c r="AZ31" t="s">
        <v>7</v>
      </c>
      <c r="BA31" t="s">
        <v>7</v>
      </c>
      <c r="BB31" t="s">
        <v>7</v>
      </c>
      <c r="BC31" t="s">
        <v>7</v>
      </c>
      <c r="BD31" t="s">
        <v>7</v>
      </c>
      <c r="BE31" t="s">
        <v>7</v>
      </c>
      <c r="BF31" t="s">
        <v>7</v>
      </c>
      <c r="BG31" t="s">
        <v>7</v>
      </c>
      <c r="BH31" t="s">
        <v>7</v>
      </c>
      <c r="BI31" t="s">
        <v>7</v>
      </c>
      <c r="BJ31" t="s">
        <v>7</v>
      </c>
      <c r="BK31" t="s">
        <v>7</v>
      </c>
      <c r="BL31" t="s">
        <v>7</v>
      </c>
      <c r="BM31" t="s">
        <v>7</v>
      </c>
      <c r="BN31" t="s">
        <v>7</v>
      </c>
      <c r="BO31" t="s">
        <v>7</v>
      </c>
      <c r="BP31" t="s">
        <v>7</v>
      </c>
      <c r="BQ31" t="s">
        <v>7</v>
      </c>
      <c r="BR31" t="s">
        <v>7</v>
      </c>
      <c r="BS31" t="s">
        <v>7</v>
      </c>
      <c r="BT31" t="s">
        <v>7</v>
      </c>
      <c r="BU31" s="4" t="str">
        <f>HYPERLINK("http://exon.niaid.nih.gov/transcriptome/C_felis/S2/links/KOG/Cf-75-KOG.txt","Signal transducing adaptor protein STAM/STAM2")</f>
        <v>Signal transducing adaptor protein STAM/STAM2</v>
      </c>
      <c r="BV31" t="str">
        <f>HYPERLINK("http://www.ncbi.nlm.nih.gov/COG/grace/shokog.cgi?KOG2199","3.1")</f>
        <v>3.1</v>
      </c>
      <c r="BW31" t="s">
        <v>86</v>
      </c>
      <c r="BX31" t="str">
        <f>HYPERLINK("http://exon.niaid.nih.gov/transcriptome/C_felis/S2/links/KOG/Cf-75-KOG.txt","KOG2199")</f>
        <v>KOG2199</v>
      </c>
      <c r="BY31" s="4" t="s">
        <v>7</v>
      </c>
      <c r="BZ31" t="s">
        <v>7</v>
      </c>
      <c r="CA31" t="s">
        <v>7</v>
      </c>
      <c r="CB31" s="4" t="str">
        <f>HYPERLINK("http://exon.niaid.nih.gov/transcriptome/C_felis/S2/links/PFAM/Cf-75-PFAM.txt","Cellulose_synt")</f>
        <v>Cellulose_synt</v>
      </c>
      <c r="CC31" t="str">
        <f>HYPERLINK("http://pfam.sanger.ac.uk/family?acc=PF03552","5.3")</f>
        <v>5.3</v>
      </c>
      <c r="CD31" s="4" t="str">
        <f>HYPERLINK("http://exon.niaid.nih.gov/transcriptome/C_felis/S2/links/SMART/Cf-75-SMART.txt","Arrestin_C")</f>
        <v>Arrestin_C</v>
      </c>
      <c r="CE31" t="str">
        <f>HYPERLINK("http://smart.embl-heidelberg.de/smart/do_annotation.pl?DOMAIN=Arrestin_C&amp;BLAST=DUMMY","3.5")</f>
        <v>3.5</v>
      </c>
      <c r="CF31" s="4" t="s">
        <v>7</v>
      </c>
      <c r="CG31" t="s">
        <v>7</v>
      </c>
      <c r="CH31" t="s">
        <v>7</v>
      </c>
      <c r="CI31" t="s">
        <v>7</v>
      </c>
      <c r="CJ31" t="s">
        <v>7</v>
      </c>
      <c r="CK31" s="7">
        <v>157</v>
      </c>
      <c r="CL31" s="2">
        <v>1</v>
      </c>
      <c r="CM31" s="7">
        <v>157</v>
      </c>
      <c r="CN31" s="2">
        <v>1</v>
      </c>
      <c r="CO31" s="7">
        <v>157</v>
      </c>
      <c r="CP31" s="2">
        <v>1</v>
      </c>
      <c r="CQ31" s="7">
        <f>HYPERLINK("http://exon.niaid.nih.gov/transcriptome/C_felis/S2/links/cluster/cf-pep25-50-Sim-CLU2.txt", 2)</f>
        <v>2</v>
      </c>
      <c r="CR31" s="2">
        <f>HYPERLINK("http://exon.niaid.nih.gov/transcriptome/C_felis/S2/links/cluster/cf-pep25-50-Sim-CLTL2.txt", 34)</f>
        <v>34</v>
      </c>
      <c r="CS31" s="7">
        <f>HYPERLINK("http://exon.niaid.nih.gov/transcriptome/C_felis/S2/links/cluster/cf-pep30-50-Sim-CLU2.txt", 2)</f>
        <v>2</v>
      </c>
      <c r="CT31" s="2">
        <f>HYPERLINK("http://exon.niaid.nih.gov/transcriptome/C_felis/S2/links/cluster/cf-pep30-50-Sim-CLTL2.txt", 20)</f>
        <v>20</v>
      </c>
      <c r="CU31" s="7">
        <f>HYPERLINK("http://exon.niaid.nih.gov/transcriptome/C_felis/S2/links/cluster/cf-pep35-50-Sim-CLU2.txt", 2)</f>
        <v>2</v>
      </c>
      <c r="CV31" s="2">
        <f>HYPERLINK("http://exon.niaid.nih.gov/transcriptome/C_felis/S2/links/cluster/cf-pep35-50-Sim-CLTL2.txt", 18)</f>
        <v>18</v>
      </c>
      <c r="CW31" s="7">
        <f>HYPERLINK("http://exon.niaid.nih.gov/transcriptome/C_felis/S2/links/cluster/cf-pep40-50-Sim-CLU2.txt", 2)</f>
        <v>2</v>
      </c>
      <c r="CX31" s="2">
        <f>HYPERLINK("http://exon.niaid.nih.gov/transcriptome/C_felis/S2/links/cluster/cf-pep40-50-Sim-CLTL2.txt", 18)</f>
        <v>18</v>
      </c>
      <c r="CY31" s="7">
        <f>HYPERLINK("http://exon.niaid.nih.gov/transcriptome/C_felis/S2/links/cluster/cf-pep45-50-Sim-CLU1.txt", 1)</f>
        <v>1</v>
      </c>
      <c r="CZ31" s="2">
        <f>HYPERLINK("http://exon.niaid.nih.gov/transcriptome/C_felis/S2/links/cluster/cf-pep45-50-Sim-CLTL1.txt", 17)</f>
        <v>17</v>
      </c>
      <c r="DA31" s="7">
        <v>159</v>
      </c>
      <c r="DB31" s="2">
        <v>1</v>
      </c>
      <c r="DC31" s="7">
        <v>161</v>
      </c>
      <c r="DD31" s="2">
        <v>1</v>
      </c>
      <c r="DE31" s="7">
        <v>166</v>
      </c>
      <c r="DF31" s="2">
        <v>1</v>
      </c>
      <c r="DG31" s="7">
        <v>171</v>
      </c>
      <c r="DH31" s="2">
        <v>1</v>
      </c>
      <c r="DI31" s="7">
        <v>172</v>
      </c>
      <c r="DJ31" s="2">
        <v>1</v>
      </c>
      <c r="DK31" s="7">
        <v>174</v>
      </c>
      <c r="DL31" s="2">
        <v>1</v>
      </c>
      <c r="DM31" s="7">
        <v>176</v>
      </c>
      <c r="DN31" s="2">
        <v>1</v>
      </c>
      <c r="DO31" s="7">
        <v>180</v>
      </c>
      <c r="DP31" s="2">
        <v>1</v>
      </c>
      <c r="DQ31" s="7">
        <v>182</v>
      </c>
      <c r="DR31" s="2">
        <v>1</v>
      </c>
      <c r="DS31" s="7">
        <v>186</v>
      </c>
      <c r="DT31" s="2">
        <v>1</v>
      </c>
    </row>
    <row r="32" spans="1:124" s="3" customFormat="1" x14ac:dyDescent="0.2">
      <c r="A32" s="14" t="s">
        <v>523</v>
      </c>
      <c r="K32" s="1" t="s">
        <v>7</v>
      </c>
      <c r="L32" s="3" t="s">
        <v>7</v>
      </c>
      <c r="M32" s="3" t="s">
        <v>7</v>
      </c>
      <c r="N32" s="3" t="s">
        <v>7</v>
      </c>
      <c r="O32" s="3" t="s">
        <v>7</v>
      </c>
      <c r="P32" s="3" t="s">
        <v>7</v>
      </c>
      <c r="Q32" s="23" t="s">
        <v>7</v>
      </c>
      <c r="R32" s="1" t="s">
        <v>7</v>
      </c>
      <c r="S32" s="3" t="s">
        <v>7</v>
      </c>
      <c r="T32" s="3" t="s">
        <v>7</v>
      </c>
      <c r="U32" s="3" t="s">
        <v>7</v>
      </c>
      <c r="V32" s="3" t="s">
        <v>7</v>
      </c>
      <c r="W32" s="3" t="s">
        <v>7</v>
      </c>
      <c r="X32" s="1" t="s">
        <v>7</v>
      </c>
      <c r="Y32" s="3" t="s">
        <v>7</v>
      </c>
      <c r="Z32" s="3" t="s">
        <v>7</v>
      </c>
      <c r="AA32" s="3" t="s">
        <v>7</v>
      </c>
      <c r="AF32" s="1"/>
      <c r="AO32" s="1"/>
      <c r="AX32" s="1"/>
      <c r="BU32" s="1"/>
      <c r="BY32" s="1"/>
      <c r="CB32" s="1"/>
      <c r="CD32" s="1"/>
      <c r="CF32" s="1"/>
      <c r="CK32" s="6"/>
      <c r="CM32" s="6"/>
      <c r="CO32" s="6"/>
      <c r="CQ32" s="6"/>
      <c r="CS32" s="6"/>
      <c r="CU32" s="6"/>
      <c r="CW32" s="6"/>
      <c r="CY32" s="6"/>
      <c r="DA32" s="6"/>
      <c r="DC32" s="6"/>
      <c r="DE32" s="6"/>
      <c r="DG32" s="6"/>
      <c r="DI32" s="6"/>
      <c r="DK32" s="6"/>
      <c r="DM32" s="6"/>
      <c r="DO32" s="6"/>
      <c r="DQ32" s="6"/>
      <c r="DS32" s="6"/>
    </row>
    <row r="33" spans="1:124" x14ac:dyDescent="0.2">
      <c r="A33" t="str">
        <f>HYPERLINK("http://exon.niaid.nih.gov/transcriptome/C_felis/S2/links/pep/Cf-1-pep.txt","Cf-1")</f>
        <v>Cf-1</v>
      </c>
      <c r="B33" s="2">
        <v>42</v>
      </c>
      <c r="C33">
        <v>47</v>
      </c>
      <c r="D33" t="str">
        <f>HYPERLINK("http://exon.niaid.nih.gov/transcriptome/C_felis/S2/links/cds/Cf-1-cds.txt","Cf-1")</f>
        <v>Cf-1</v>
      </c>
      <c r="E33">
        <v>144</v>
      </c>
      <c r="F33" t="s">
        <v>443</v>
      </c>
      <c r="G33">
        <v>0</v>
      </c>
      <c r="I33" s="2" t="s">
        <v>9</v>
      </c>
      <c r="J33" s="2" t="s">
        <v>3</v>
      </c>
      <c r="K33" s="20" t="str">
        <f>HYPERLINK("http://exon.niaid.nih.gov/transcriptome/C_felis/S2/links/Sigp/Cf-1-SigP.txt","SIG")</f>
        <v>SIG</v>
      </c>
      <c r="L33" s="2" t="s">
        <v>564</v>
      </c>
      <c r="M33" s="2">
        <v>4.8810000000000002</v>
      </c>
      <c r="N33" s="2">
        <v>9.82</v>
      </c>
      <c r="O33" s="2">
        <v>2.27</v>
      </c>
      <c r="P33" s="2">
        <v>9.99</v>
      </c>
      <c r="Q33" s="24" t="s">
        <v>565</v>
      </c>
      <c r="R33" s="20" t="str">
        <f>HYPERLINK("http://exon.niaid.nih.gov/transcriptome/C_felis/S2/links/tmhmm/CF-1-tmhmm.txt","1")</f>
        <v>1</v>
      </c>
      <c r="S33" s="2">
        <v>40.4</v>
      </c>
      <c r="T33" s="2">
        <v>10.6</v>
      </c>
      <c r="U33" s="2">
        <v>48.9</v>
      </c>
      <c r="V33" s="2" t="s">
        <v>7</v>
      </c>
      <c r="W33" s="2">
        <v>23</v>
      </c>
      <c r="X33" s="20" t="str">
        <f>HYPERLINK("http://exon.niaid.nih.gov/transcriptome/C_felis/S2/links/netoglyc/CF-1-netoglyc.txt","0")</f>
        <v>0</v>
      </c>
      <c r="Y33" s="2">
        <v>8.5</v>
      </c>
      <c r="Z33" s="2">
        <v>17</v>
      </c>
      <c r="AA33" s="2">
        <v>4.3</v>
      </c>
      <c r="AB33" t="s">
        <v>441</v>
      </c>
      <c r="AC33" t="s">
        <v>456</v>
      </c>
      <c r="AD33" t="s">
        <v>443</v>
      </c>
      <c r="AE33" s="2">
        <v>42</v>
      </c>
      <c r="AF33" s="4" t="str">
        <f>HYPERLINK("http://exon.niaid.nih.gov/transcriptome/C_felis/S2/links/NR/Cf-1-NR.txt","flagellar hook-length control protein")</f>
        <v>flagellar hook-length control protein</v>
      </c>
      <c r="AG33" t="str">
        <f>HYPERLINK("http://www.ncbi.nlm.nih.gov/sutils/blink.cgi?pid=291286227","8.7")</f>
        <v>8.7</v>
      </c>
      <c r="AH33" t="str">
        <f>HYPERLINK("http://www.ncbi.nlm.nih.gov/protein/291286227","gi|291286227")</f>
        <v>gi|291286227</v>
      </c>
      <c r="AI33">
        <v>33.9</v>
      </c>
      <c r="AJ33">
        <v>36</v>
      </c>
      <c r="AK33">
        <v>388</v>
      </c>
      <c r="AL33">
        <v>40</v>
      </c>
      <c r="AM33">
        <v>10</v>
      </c>
      <c r="AN33" t="s">
        <v>135</v>
      </c>
      <c r="AO33" s="4" t="str">
        <f>HYPERLINK("http://exon.niaid.nih.gov/transcriptome/C_felis/S2/links/SWISSP/Cf-1-SWISSP.txt","Inorganic phosphate transporter 1-11")</f>
        <v>Inorganic phosphate transporter 1-11</v>
      </c>
      <c r="AP33" t="str">
        <f>HYPERLINK("http://www.uniprot.org/uniprot/Q94DB8","21")</f>
        <v>21</v>
      </c>
      <c r="AQ33" t="s">
        <v>136</v>
      </c>
      <c r="AR33">
        <v>27.7</v>
      </c>
      <c r="AS33">
        <v>31</v>
      </c>
      <c r="AT33">
        <v>555</v>
      </c>
      <c r="AU33">
        <v>44</v>
      </c>
      <c r="AV33">
        <v>6</v>
      </c>
      <c r="AW33" t="s">
        <v>137</v>
      </c>
      <c r="AX33" s="4" t="s">
        <v>7</v>
      </c>
      <c r="AY33" t="s">
        <v>7</v>
      </c>
      <c r="AZ33" t="s">
        <v>7</v>
      </c>
      <c r="BA33" t="s">
        <v>7</v>
      </c>
      <c r="BB33" t="s">
        <v>7</v>
      </c>
      <c r="BC33" t="s">
        <v>7</v>
      </c>
      <c r="BD33" t="s">
        <v>7</v>
      </c>
      <c r="BE33" t="s">
        <v>7</v>
      </c>
      <c r="BF33" t="s">
        <v>7</v>
      </c>
      <c r="BG33" t="s">
        <v>7</v>
      </c>
      <c r="BH33" t="s">
        <v>7</v>
      </c>
      <c r="BI33" t="s">
        <v>7</v>
      </c>
      <c r="BJ33" t="s">
        <v>7</v>
      </c>
      <c r="BK33" t="s">
        <v>7</v>
      </c>
      <c r="BL33" t="s">
        <v>7</v>
      </c>
      <c r="BM33" t="s">
        <v>7</v>
      </c>
      <c r="BN33" t="s">
        <v>7</v>
      </c>
      <c r="BO33" t="s">
        <v>7</v>
      </c>
      <c r="BP33" t="s">
        <v>7</v>
      </c>
      <c r="BQ33" t="s">
        <v>7</v>
      </c>
      <c r="BR33" t="s">
        <v>7</v>
      </c>
      <c r="BS33" t="s">
        <v>7</v>
      </c>
      <c r="BT33" t="s">
        <v>7</v>
      </c>
      <c r="BU33" s="4" t="str">
        <f>HYPERLINK("http://exon.niaid.nih.gov/transcriptome/C_felis/S2/links/KOG/Cf-1-KOG.txt","Ca2+ release channel (ryanodine receptor)")</f>
        <v>Ca2+ release channel (ryanodine receptor)</v>
      </c>
      <c r="BV33" t="str">
        <f>HYPERLINK("http://www.ncbi.nlm.nih.gov/COG/grace/shokog.cgi?KOG2243","3.9")</f>
        <v>3.9</v>
      </c>
      <c r="BW33" t="s">
        <v>86</v>
      </c>
      <c r="BX33" t="str">
        <f>HYPERLINK("http://exon.niaid.nih.gov/transcriptome/C_felis/S2/links/KOG/Cf-1-KOG.txt","KOG2243")</f>
        <v>KOG2243</v>
      </c>
      <c r="BY33" s="4" t="str">
        <f>HYPERLINK("http://exon.niaid.nih.gov/transcriptome/C_felis/S2/links/CDD/Cf-1-CDD.txt","RR_TM4-6")</f>
        <v>RR_TM4-6</v>
      </c>
      <c r="BZ33" t="str">
        <f>HYPERLINK("http://www.ncbi.nlm.nih.gov/Structure/cdd/cddsrv.cgi?uid=pfam06459&amp;version=v4.0","4.5")</f>
        <v>4.5</v>
      </c>
      <c r="CA33" t="s">
        <v>138</v>
      </c>
      <c r="CB33" s="4" t="str">
        <f>HYPERLINK("http://exon.niaid.nih.gov/transcriptome/C_felis/S2/links/PFAM/Cf-1-PFAM.txt","RR_TM4-6")</f>
        <v>RR_TM4-6</v>
      </c>
      <c r="CC33" t="str">
        <f>HYPERLINK("http://pfam.sanger.ac.uk/family?acc=PF06459","0.96")</f>
        <v>0.96</v>
      </c>
      <c r="CD33" s="4" t="str">
        <f>HYPERLINK("http://exon.niaid.nih.gov/transcriptome/C_felis/S2/links/SMART/Cf-1-SMART.txt","Bac_rhodopsin")</f>
        <v>Bac_rhodopsin</v>
      </c>
      <c r="CE33" t="str">
        <f>HYPERLINK("http://smart.embl-heidelberg.de/smart/do_annotation.pl?DOMAIN=Bac_rhodopsin&amp;BLAST=DUMMY","5.4")</f>
        <v>5.4</v>
      </c>
      <c r="CF33" s="4" t="s">
        <v>7</v>
      </c>
      <c r="CG33" t="s">
        <v>7</v>
      </c>
      <c r="CH33" t="s">
        <v>7</v>
      </c>
      <c r="CI33" t="s">
        <v>7</v>
      </c>
      <c r="CJ33" t="s">
        <v>7</v>
      </c>
      <c r="CK33" s="7">
        <f>HYPERLINK("http://exon.niaid.nih.gov/transcriptome/C_felis/S2/links/cluster/cf-pep95-2-Id-CLU3.txt", 3)</f>
        <v>3</v>
      </c>
      <c r="CL33" s="2">
        <f>HYPERLINK("http://exon.niaid.nih.gov/transcriptome/C_felis/S2/links/cluster/cf-pep95-2-Id-CLTL3.txt", 5)</f>
        <v>5</v>
      </c>
      <c r="CM33" s="7">
        <f>HYPERLINK("http://exon.niaid.nih.gov/transcriptome/C_felis/S2/links/cluster/cf-pep100-3-Id-CLU3.txt", 3)</f>
        <v>3</v>
      </c>
      <c r="CN33" s="2">
        <f>HYPERLINK("http://exon.niaid.nih.gov/transcriptome/C_felis/S2/links/cluster/cf-pep100-3-Id-CLTL3.txt", 5)</f>
        <v>5</v>
      </c>
      <c r="CO33" s="7">
        <f>HYPERLINK("http://exon.niaid.nih.gov/transcriptome/C_felis/S2/links/cluster/cf-pep100-4-Id-CLU3.txt", 3)</f>
        <v>3</v>
      </c>
      <c r="CP33" s="2">
        <f>HYPERLINK("http://exon.niaid.nih.gov/transcriptome/C_felis/S2/links/cluster/cf-pep100-4-Id-CLTL3.txt", 5)</f>
        <v>5</v>
      </c>
      <c r="CQ33" s="7">
        <f>HYPERLINK("http://exon.niaid.nih.gov/transcriptome/C_felis/S2/links/cluster/cf-pep25-50-Sim-CLU1.txt", 1)</f>
        <v>1</v>
      </c>
      <c r="CR33" s="2">
        <f>HYPERLINK("http://exon.niaid.nih.gov/transcriptome/C_felis/S2/links/cluster/cf-pep25-50-Sim-CLTL1.txt", 45)</f>
        <v>45</v>
      </c>
      <c r="CS33" s="7">
        <f>HYPERLINK("http://exon.niaid.nih.gov/transcriptome/C_felis/S2/links/cluster/cf-pep30-50-Sim-CLU3.txt", 3)</f>
        <v>3</v>
      </c>
      <c r="CT33" s="2">
        <f>HYPERLINK("http://exon.niaid.nih.gov/transcriptome/C_felis/S2/links/cluster/cf-pep30-50-Sim-CLTL3.txt", 6)</f>
        <v>6</v>
      </c>
      <c r="CU33" s="7">
        <f>HYPERLINK("http://exon.niaid.nih.gov/transcriptome/C_felis/S2/links/cluster/cf-pep35-50-Sim-CLU3.txt", 3)</f>
        <v>3</v>
      </c>
      <c r="CV33" s="2">
        <f>HYPERLINK("http://exon.niaid.nih.gov/transcriptome/C_felis/S2/links/cluster/cf-pep35-50-Sim-CLTL3.txt", 5)</f>
        <v>5</v>
      </c>
      <c r="CW33" s="7">
        <f>HYPERLINK("http://exon.niaid.nih.gov/transcriptome/C_felis/S2/links/cluster/cf-pep40-50-Sim-CLU3.txt", 3)</f>
        <v>3</v>
      </c>
      <c r="CX33" s="2">
        <f>HYPERLINK("http://exon.niaid.nih.gov/transcriptome/C_felis/S2/links/cluster/cf-pep40-50-Sim-CLTL3.txt", 5)</f>
        <v>5</v>
      </c>
      <c r="CY33" s="7">
        <f>HYPERLINK("http://exon.niaid.nih.gov/transcriptome/C_felis/S2/links/cluster/cf-pep45-50-Sim-CLU3.txt", 3)</f>
        <v>3</v>
      </c>
      <c r="CZ33" s="2">
        <f>HYPERLINK("http://exon.niaid.nih.gov/transcriptome/C_felis/S2/links/cluster/cf-pep45-50-Sim-CLTL3.txt", 5)</f>
        <v>5</v>
      </c>
      <c r="DA33" s="7">
        <f>HYPERLINK("http://exon.niaid.nih.gov/transcriptome/C_felis/S2/links/cluster/cf-pep50-50-Sim-CLU4.txt", 4)</f>
        <v>4</v>
      </c>
      <c r="DB33" s="2">
        <f>HYPERLINK("http://exon.niaid.nih.gov/transcriptome/C_felis/S2/links/cluster/cf-pep50-50-Sim-CLTL4.txt", 5)</f>
        <v>5</v>
      </c>
      <c r="DC33" s="7">
        <f>HYPERLINK("http://exon.niaid.nih.gov/transcriptome/C_felis/S2/links/cluster/cf-pep55-50-Sim-CLU3.txt", 3)</f>
        <v>3</v>
      </c>
      <c r="DD33" s="2">
        <f>HYPERLINK("http://exon.niaid.nih.gov/transcriptome/C_felis/S2/links/cluster/cf-pep55-50-Sim-CLTL3.txt", 5)</f>
        <v>5</v>
      </c>
      <c r="DE33" s="7">
        <f>HYPERLINK("http://exon.niaid.nih.gov/transcriptome/C_felis/S2/links/cluster/cf-pep60-50-Sim-CLU3.txt", 3)</f>
        <v>3</v>
      </c>
      <c r="DF33" s="2">
        <f>HYPERLINK("http://exon.niaid.nih.gov/transcriptome/C_felis/S2/links/cluster/cf-pep60-50-Sim-CLTL3.txt", 5)</f>
        <v>5</v>
      </c>
      <c r="DG33" s="7">
        <f>HYPERLINK("http://exon.niaid.nih.gov/transcriptome/C_felis/S2/links/cluster/cf-pep65-50-Sim-CLU2.txt", 2)</f>
        <v>2</v>
      </c>
      <c r="DH33" s="2">
        <f>HYPERLINK("http://exon.niaid.nih.gov/transcriptome/C_felis/S2/links/cluster/cf-pep65-50-Sim-CLTL2.txt", 5)</f>
        <v>5</v>
      </c>
      <c r="DI33" s="7">
        <f>HYPERLINK("http://exon.niaid.nih.gov/transcriptome/C_felis/S2/links/cluster/cf-pep70-50-Sim-CLU1.txt", 1)</f>
        <v>1</v>
      </c>
      <c r="DJ33" s="2">
        <f>HYPERLINK("http://exon.niaid.nih.gov/transcriptome/C_felis/S2/links/cluster/cf-pep70-50-Sim-CLTL1.txt", 5)</f>
        <v>5</v>
      </c>
      <c r="DK33" s="7">
        <f>HYPERLINK("http://exon.niaid.nih.gov/transcriptome/C_felis/S2/links/cluster/cf-pep75-50-Sim-CLU1.txt", 1)</f>
        <v>1</v>
      </c>
      <c r="DL33" s="2">
        <f>HYPERLINK("http://exon.niaid.nih.gov/transcriptome/C_felis/S2/links/cluster/cf-pep75-50-Sim-CLTL1.txt", 5)</f>
        <v>5</v>
      </c>
      <c r="DM33" s="7">
        <f>HYPERLINK("http://exon.niaid.nih.gov/transcriptome/C_felis/S2/links/cluster/cf-pep80-50-Sim-CLU1.txt", 1)</f>
        <v>1</v>
      </c>
      <c r="DN33" s="2">
        <f>HYPERLINK("http://exon.niaid.nih.gov/transcriptome/C_felis/S2/links/cluster/cf-pep80-50-Sim-CLTL1.txt", 5)</f>
        <v>5</v>
      </c>
      <c r="DO33" s="7">
        <f>HYPERLINK("http://exon.niaid.nih.gov/transcriptome/C_felis/S2/links/cluster/cf-pep85-50-Sim-CLU1.txt", 1)</f>
        <v>1</v>
      </c>
      <c r="DP33" s="2">
        <f>HYPERLINK("http://exon.niaid.nih.gov/transcriptome/C_felis/S2/links/cluster/cf-pep85-50-Sim-CLTL1.txt", 5)</f>
        <v>5</v>
      </c>
      <c r="DQ33" s="7">
        <f>HYPERLINK("http://exon.niaid.nih.gov/transcriptome/C_felis/S2/links/cluster/cf-pep90-50-Sim-CLU1.txt", 1)</f>
        <v>1</v>
      </c>
      <c r="DR33" s="2">
        <f>HYPERLINK("http://exon.niaid.nih.gov/transcriptome/C_felis/S2/links/cluster/cf-pep90-50-Sim-CLTL1.txt", 5)</f>
        <v>5</v>
      </c>
      <c r="DS33" s="7">
        <f>HYPERLINK("http://exon.niaid.nih.gov/transcriptome/C_felis/S2/links/cluster/cf-pep95-50-Sim-CLU1.txt", 1)</f>
        <v>1</v>
      </c>
      <c r="DT33" s="2">
        <f>HYPERLINK("http://exon.niaid.nih.gov/transcriptome/C_felis/S2/links/cluster/cf-pep95-50-Sim-CLTL1.txt", 5)</f>
        <v>5</v>
      </c>
    </row>
    <row r="34" spans="1:124" x14ac:dyDescent="0.2">
      <c r="A34" t="str">
        <f>HYPERLINK("http://exon.niaid.nih.gov/transcriptome/C_felis/S2/links/pep/Cf-6-pep.txt","Cf-6")</f>
        <v>Cf-6</v>
      </c>
      <c r="B34" s="2">
        <v>19</v>
      </c>
      <c r="C34">
        <v>47</v>
      </c>
      <c r="D34" t="str">
        <f>HYPERLINK("http://exon.niaid.nih.gov/transcriptome/C_felis/S2/links/cds/Cf-6-cds.txt","Cf-6")</f>
        <v>Cf-6</v>
      </c>
      <c r="E34">
        <v>144</v>
      </c>
      <c r="F34" t="s">
        <v>443</v>
      </c>
      <c r="G34">
        <v>0</v>
      </c>
      <c r="I34" s="2" t="s">
        <v>9</v>
      </c>
      <c r="J34" s="2" t="s">
        <v>3</v>
      </c>
      <c r="K34" s="20" t="str">
        <f>HYPERLINK("http://exon.niaid.nih.gov/transcriptome/C_felis/S2/links/Sigp/Cf-6-SigP.txt","SIG")</f>
        <v>SIG</v>
      </c>
      <c r="L34" s="2" t="s">
        <v>564</v>
      </c>
      <c r="M34" s="2">
        <v>4.907</v>
      </c>
      <c r="N34" s="2">
        <v>9.82</v>
      </c>
      <c r="O34" s="2">
        <v>2.27</v>
      </c>
      <c r="P34" s="2">
        <v>9.99</v>
      </c>
      <c r="Q34" s="24" t="s">
        <v>566</v>
      </c>
      <c r="R34" s="20" t="str">
        <f>HYPERLINK("http://exon.niaid.nih.gov/transcriptome/C_felis/S2/links/tmhmm/CF-6-tmhmm.txt","1")</f>
        <v>1</v>
      </c>
      <c r="S34" s="2">
        <v>40.4</v>
      </c>
      <c r="T34" s="2">
        <v>10.6</v>
      </c>
      <c r="U34" s="2">
        <v>48.9</v>
      </c>
      <c r="V34" s="2" t="s">
        <v>7</v>
      </c>
      <c r="W34" s="2">
        <v>23</v>
      </c>
      <c r="X34" s="20" t="str">
        <f>HYPERLINK("http://exon.niaid.nih.gov/transcriptome/C_felis/S2/links/netoglyc/CF-6-netoglyc.txt","0")</f>
        <v>0</v>
      </c>
      <c r="Y34" s="2">
        <v>8.5</v>
      </c>
      <c r="Z34" s="2">
        <v>17</v>
      </c>
      <c r="AA34" s="2">
        <v>4.3</v>
      </c>
      <c r="AB34" t="s">
        <v>441</v>
      </c>
      <c r="AC34" t="s">
        <v>456</v>
      </c>
      <c r="AD34" t="s">
        <v>443</v>
      </c>
      <c r="AE34" s="2">
        <v>19</v>
      </c>
      <c r="AF34" s="4" t="str">
        <f>HYPERLINK("http://exon.niaid.nih.gov/transcriptome/C_felis/S2/links/NR/Cf-6-NR.txt","flagellar hook-length control protein")</f>
        <v>flagellar hook-length control protein</v>
      </c>
      <c r="AG34" t="str">
        <f>HYPERLINK("http://www.ncbi.nlm.nih.gov/sutils/blink.cgi?pid=291286227","8.7")</f>
        <v>8.7</v>
      </c>
      <c r="AH34" t="str">
        <f>HYPERLINK("http://www.ncbi.nlm.nih.gov/protein/291286227","gi|291286227")</f>
        <v>gi|291286227</v>
      </c>
      <c r="AI34">
        <v>33.9</v>
      </c>
      <c r="AJ34">
        <v>36</v>
      </c>
      <c r="AK34">
        <v>388</v>
      </c>
      <c r="AL34">
        <v>40</v>
      </c>
      <c r="AM34">
        <v>10</v>
      </c>
      <c r="AN34" t="s">
        <v>135</v>
      </c>
      <c r="AO34" s="4" t="str">
        <f>HYPERLINK("http://exon.niaid.nih.gov/transcriptome/C_felis/S2/links/SWISSP/Cf-6-SWISSP.txt","Putative ripening-related protein 6")</f>
        <v>Putative ripening-related protein 6</v>
      </c>
      <c r="AP34" t="str">
        <f>HYPERLINK("http://www.uniprot.org/uniprot/Q7XD66","21")</f>
        <v>21</v>
      </c>
      <c r="AQ34" t="s">
        <v>380</v>
      </c>
      <c r="AR34">
        <v>27.7</v>
      </c>
      <c r="AS34">
        <v>30</v>
      </c>
      <c r="AT34">
        <v>167</v>
      </c>
      <c r="AU34">
        <v>45</v>
      </c>
      <c r="AV34">
        <v>19</v>
      </c>
      <c r="AW34" t="s">
        <v>137</v>
      </c>
      <c r="AX34" s="4" t="s">
        <v>7</v>
      </c>
      <c r="AY34" t="s">
        <v>7</v>
      </c>
      <c r="AZ34" t="s">
        <v>7</v>
      </c>
      <c r="BA34" t="s">
        <v>7</v>
      </c>
      <c r="BB34" t="s">
        <v>7</v>
      </c>
      <c r="BC34" t="s">
        <v>7</v>
      </c>
      <c r="BD34" t="s">
        <v>7</v>
      </c>
      <c r="BE34" t="s">
        <v>7</v>
      </c>
      <c r="BF34" t="s">
        <v>7</v>
      </c>
      <c r="BG34" t="s">
        <v>7</v>
      </c>
      <c r="BH34" t="s">
        <v>7</v>
      </c>
      <c r="BI34" t="s">
        <v>7</v>
      </c>
      <c r="BJ34" t="s">
        <v>7</v>
      </c>
      <c r="BK34" t="s">
        <v>7</v>
      </c>
      <c r="BL34" t="s">
        <v>7</v>
      </c>
      <c r="BM34" t="s">
        <v>7</v>
      </c>
      <c r="BN34" t="s">
        <v>7</v>
      </c>
      <c r="BO34" t="s">
        <v>7</v>
      </c>
      <c r="BP34" t="s">
        <v>7</v>
      </c>
      <c r="BQ34" t="s">
        <v>7</v>
      </c>
      <c r="BR34" t="s">
        <v>7</v>
      </c>
      <c r="BS34" t="s">
        <v>7</v>
      </c>
      <c r="BT34" t="s">
        <v>7</v>
      </c>
      <c r="BU34" s="4" t="s">
        <v>7</v>
      </c>
      <c r="BV34" t="s">
        <v>7</v>
      </c>
      <c r="BW34" t="s">
        <v>7</v>
      </c>
      <c r="BX34" t="s">
        <v>7</v>
      </c>
      <c r="BY34" s="4" t="s">
        <v>7</v>
      </c>
      <c r="BZ34" t="s">
        <v>7</v>
      </c>
      <c r="CA34" t="s">
        <v>7</v>
      </c>
      <c r="CB34" s="4" t="str">
        <f>HYPERLINK("http://exon.niaid.nih.gov/transcriptome/C_felis/S2/links/PFAM/Cf-6-PFAM.txt","NDUF_B8")</f>
        <v>NDUF_B8</v>
      </c>
      <c r="CC34" t="str">
        <f>HYPERLINK("http://pfam.sanger.ac.uk/family?acc=PF05821","4.8")</f>
        <v>4.8</v>
      </c>
      <c r="CD34" s="4" t="str">
        <f>HYPERLINK("http://exon.niaid.nih.gov/transcriptome/C_felis/S2/links/SMART/Cf-6-SMART.txt","Bac_rhodopsin")</f>
        <v>Bac_rhodopsin</v>
      </c>
      <c r="CE34" t="str">
        <f>HYPERLINK("http://smart.embl-heidelberg.de/smart/do_annotation.pl?DOMAIN=Bac_rhodopsin&amp;BLAST=DUMMY","4.5")</f>
        <v>4.5</v>
      </c>
      <c r="CF34" s="4" t="s">
        <v>7</v>
      </c>
      <c r="CG34" t="s">
        <v>7</v>
      </c>
      <c r="CH34" t="s">
        <v>7</v>
      </c>
      <c r="CI34" t="s">
        <v>7</v>
      </c>
      <c r="CJ34" t="s">
        <v>7</v>
      </c>
      <c r="CK34" s="7">
        <f>HYPERLINK("http://exon.niaid.nih.gov/transcriptome/C_felis/S2/links/cluster/cf-pep95-2-Id-CLU3.txt", 3)</f>
        <v>3</v>
      </c>
      <c r="CL34" s="2">
        <f>HYPERLINK("http://exon.niaid.nih.gov/transcriptome/C_felis/S2/links/cluster/cf-pep95-2-Id-CLTL3.txt", 5)</f>
        <v>5</v>
      </c>
      <c r="CM34" s="7">
        <f>HYPERLINK("http://exon.niaid.nih.gov/transcriptome/C_felis/S2/links/cluster/cf-pep100-3-Id-CLU3.txt", 3)</f>
        <v>3</v>
      </c>
      <c r="CN34" s="2">
        <f>HYPERLINK("http://exon.niaid.nih.gov/transcriptome/C_felis/S2/links/cluster/cf-pep100-3-Id-CLTL3.txt", 5)</f>
        <v>5</v>
      </c>
      <c r="CO34" s="7">
        <f>HYPERLINK("http://exon.niaid.nih.gov/transcriptome/C_felis/S2/links/cluster/cf-pep100-4-Id-CLU3.txt", 3)</f>
        <v>3</v>
      </c>
      <c r="CP34" s="2">
        <f>HYPERLINK("http://exon.niaid.nih.gov/transcriptome/C_felis/S2/links/cluster/cf-pep100-4-Id-CLTL3.txt", 5)</f>
        <v>5</v>
      </c>
      <c r="CQ34" s="7">
        <f>HYPERLINK("http://exon.niaid.nih.gov/transcriptome/C_felis/S2/links/cluster/cf-pep25-50-Sim-CLU1.txt", 1)</f>
        <v>1</v>
      </c>
      <c r="CR34" s="2">
        <f>HYPERLINK("http://exon.niaid.nih.gov/transcriptome/C_felis/S2/links/cluster/cf-pep25-50-Sim-CLTL1.txt", 45)</f>
        <v>45</v>
      </c>
      <c r="CS34" s="7">
        <f>HYPERLINK("http://exon.niaid.nih.gov/transcriptome/C_felis/S2/links/cluster/cf-pep30-50-Sim-CLU3.txt", 3)</f>
        <v>3</v>
      </c>
      <c r="CT34" s="2">
        <f>HYPERLINK("http://exon.niaid.nih.gov/transcriptome/C_felis/S2/links/cluster/cf-pep30-50-Sim-CLTL3.txt", 6)</f>
        <v>6</v>
      </c>
      <c r="CU34" s="7">
        <f>HYPERLINK("http://exon.niaid.nih.gov/transcriptome/C_felis/S2/links/cluster/cf-pep35-50-Sim-CLU3.txt", 3)</f>
        <v>3</v>
      </c>
      <c r="CV34" s="2">
        <f>HYPERLINK("http://exon.niaid.nih.gov/transcriptome/C_felis/S2/links/cluster/cf-pep35-50-Sim-CLTL3.txt", 5)</f>
        <v>5</v>
      </c>
      <c r="CW34" s="7">
        <f>HYPERLINK("http://exon.niaid.nih.gov/transcriptome/C_felis/S2/links/cluster/cf-pep40-50-Sim-CLU3.txt", 3)</f>
        <v>3</v>
      </c>
      <c r="CX34" s="2">
        <f>HYPERLINK("http://exon.niaid.nih.gov/transcriptome/C_felis/S2/links/cluster/cf-pep40-50-Sim-CLTL3.txt", 5)</f>
        <v>5</v>
      </c>
      <c r="CY34" s="7">
        <f>HYPERLINK("http://exon.niaid.nih.gov/transcriptome/C_felis/S2/links/cluster/cf-pep45-50-Sim-CLU3.txt", 3)</f>
        <v>3</v>
      </c>
      <c r="CZ34" s="2">
        <f>HYPERLINK("http://exon.niaid.nih.gov/transcriptome/C_felis/S2/links/cluster/cf-pep45-50-Sim-CLTL3.txt", 5)</f>
        <v>5</v>
      </c>
      <c r="DA34" s="7">
        <f>HYPERLINK("http://exon.niaid.nih.gov/transcriptome/C_felis/S2/links/cluster/cf-pep50-50-Sim-CLU4.txt", 4)</f>
        <v>4</v>
      </c>
      <c r="DB34" s="2">
        <f>HYPERLINK("http://exon.niaid.nih.gov/transcriptome/C_felis/S2/links/cluster/cf-pep50-50-Sim-CLTL4.txt", 5)</f>
        <v>5</v>
      </c>
      <c r="DC34" s="7">
        <f>HYPERLINK("http://exon.niaid.nih.gov/transcriptome/C_felis/S2/links/cluster/cf-pep55-50-Sim-CLU3.txt", 3)</f>
        <v>3</v>
      </c>
      <c r="DD34" s="2">
        <f>HYPERLINK("http://exon.niaid.nih.gov/transcriptome/C_felis/S2/links/cluster/cf-pep55-50-Sim-CLTL3.txt", 5)</f>
        <v>5</v>
      </c>
      <c r="DE34" s="7">
        <f>HYPERLINK("http://exon.niaid.nih.gov/transcriptome/C_felis/S2/links/cluster/cf-pep60-50-Sim-CLU3.txt", 3)</f>
        <v>3</v>
      </c>
      <c r="DF34" s="2">
        <f>HYPERLINK("http://exon.niaid.nih.gov/transcriptome/C_felis/S2/links/cluster/cf-pep60-50-Sim-CLTL3.txt", 5)</f>
        <v>5</v>
      </c>
      <c r="DG34" s="7">
        <f>HYPERLINK("http://exon.niaid.nih.gov/transcriptome/C_felis/S2/links/cluster/cf-pep65-50-Sim-CLU2.txt", 2)</f>
        <v>2</v>
      </c>
      <c r="DH34" s="2">
        <f>HYPERLINK("http://exon.niaid.nih.gov/transcriptome/C_felis/S2/links/cluster/cf-pep65-50-Sim-CLTL2.txt", 5)</f>
        <v>5</v>
      </c>
      <c r="DI34" s="7">
        <f>HYPERLINK("http://exon.niaid.nih.gov/transcriptome/C_felis/S2/links/cluster/cf-pep70-50-Sim-CLU1.txt", 1)</f>
        <v>1</v>
      </c>
      <c r="DJ34" s="2">
        <f>HYPERLINK("http://exon.niaid.nih.gov/transcriptome/C_felis/S2/links/cluster/cf-pep70-50-Sim-CLTL1.txt", 5)</f>
        <v>5</v>
      </c>
      <c r="DK34" s="7">
        <f>HYPERLINK("http://exon.niaid.nih.gov/transcriptome/C_felis/S2/links/cluster/cf-pep75-50-Sim-CLU1.txt", 1)</f>
        <v>1</v>
      </c>
      <c r="DL34" s="2">
        <f>HYPERLINK("http://exon.niaid.nih.gov/transcriptome/C_felis/S2/links/cluster/cf-pep75-50-Sim-CLTL1.txt", 5)</f>
        <v>5</v>
      </c>
      <c r="DM34" s="7">
        <f>HYPERLINK("http://exon.niaid.nih.gov/transcriptome/C_felis/S2/links/cluster/cf-pep80-50-Sim-CLU1.txt", 1)</f>
        <v>1</v>
      </c>
      <c r="DN34" s="2">
        <f>HYPERLINK("http://exon.niaid.nih.gov/transcriptome/C_felis/S2/links/cluster/cf-pep80-50-Sim-CLTL1.txt", 5)</f>
        <v>5</v>
      </c>
      <c r="DO34" s="7">
        <f>HYPERLINK("http://exon.niaid.nih.gov/transcriptome/C_felis/S2/links/cluster/cf-pep85-50-Sim-CLU1.txt", 1)</f>
        <v>1</v>
      </c>
      <c r="DP34" s="2">
        <f>HYPERLINK("http://exon.niaid.nih.gov/transcriptome/C_felis/S2/links/cluster/cf-pep85-50-Sim-CLTL1.txt", 5)</f>
        <v>5</v>
      </c>
      <c r="DQ34" s="7">
        <f>HYPERLINK("http://exon.niaid.nih.gov/transcriptome/C_felis/S2/links/cluster/cf-pep90-50-Sim-CLU1.txt", 1)</f>
        <v>1</v>
      </c>
      <c r="DR34" s="2">
        <f>HYPERLINK("http://exon.niaid.nih.gov/transcriptome/C_felis/S2/links/cluster/cf-pep90-50-Sim-CLTL1.txt", 5)</f>
        <v>5</v>
      </c>
      <c r="DS34" s="7">
        <f>HYPERLINK("http://exon.niaid.nih.gov/transcriptome/C_felis/S2/links/cluster/cf-pep95-50-Sim-CLU1.txt", 1)</f>
        <v>1</v>
      </c>
      <c r="DT34" s="2">
        <f>HYPERLINK("http://exon.niaid.nih.gov/transcriptome/C_felis/S2/links/cluster/cf-pep95-50-Sim-CLTL1.txt", 5)</f>
        <v>5</v>
      </c>
    </row>
    <row r="35" spans="1:124" x14ac:dyDescent="0.2">
      <c r="A35" t="str">
        <f>HYPERLINK("http://exon.niaid.nih.gov/transcriptome/C_felis/S2/links/pep/Cf-2-pep.txt","Cf-2")</f>
        <v>Cf-2</v>
      </c>
      <c r="B35" s="2">
        <v>14</v>
      </c>
      <c r="C35">
        <v>47</v>
      </c>
      <c r="D35" t="str">
        <f>HYPERLINK("http://exon.niaid.nih.gov/transcriptome/C_felis/S2/links/cds/Cf-2-cds.txt","Cf-2")</f>
        <v>Cf-2</v>
      </c>
      <c r="E35">
        <v>144</v>
      </c>
      <c r="F35" t="s">
        <v>443</v>
      </c>
      <c r="G35">
        <v>0</v>
      </c>
      <c r="I35" s="2" t="s">
        <v>9</v>
      </c>
      <c r="J35" s="2" t="s">
        <v>3</v>
      </c>
      <c r="K35" s="20" t="str">
        <f>HYPERLINK("http://exon.niaid.nih.gov/transcriptome/C_felis/S2/links/Sigp/Cf-2-SigP.txt","SIG")</f>
        <v>SIG</v>
      </c>
      <c r="L35" s="2" t="s">
        <v>564</v>
      </c>
      <c r="M35" s="2">
        <v>4.8769999999999998</v>
      </c>
      <c r="N35" s="2">
        <v>9.82</v>
      </c>
      <c r="O35" s="2">
        <v>2.242</v>
      </c>
      <c r="P35" s="2">
        <v>9.99</v>
      </c>
      <c r="Q35" s="24" t="s">
        <v>567</v>
      </c>
      <c r="R35" s="20" t="str">
        <f>HYPERLINK("http://exon.niaid.nih.gov/transcriptome/C_felis/S2/links/tmhmm/CF-2-tmhmm.txt","1")</f>
        <v>1</v>
      </c>
      <c r="S35" s="2">
        <v>40.4</v>
      </c>
      <c r="T35" s="2">
        <v>10.6</v>
      </c>
      <c r="U35" s="2">
        <v>48.9</v>
      </c>
      <c r="V35" s="2" t="s">
        <v>7</v>
      </c>
      <c r="W35" s="2">
        <v>23</v>
      </c>
      <c r="X35" s="20" t="str">
        <f>HYPERLINK("http://exon.niaid.nih.gov/transcriptome/C_felis/S2/links/netoglyc/CF-2-netoglyc.txt","0")</f>
        <v>0</v>
      </c>
      <c r="Y35" s="2">
        <v>8.5</v>
      </c>
      <c r="Z35" s="2">
        <v>17</v>
      </c>
      <c r="AA35" s="2">
        <v>4.3</v>
      </c>
      <c r="AB35" t="s">
        <v>441</v>
      </c>
      <c r="AC35" t="s">
        <v>456</v>
      </c>
      <c r="AD35" t="s">
        <v>443</v>
      </c>
      <c r="AE35" s="2">
        <v>14</v>
      </c>
      <c r="AF35" s="4" t="str">
        <f>HYPERLINK("http://exon.niaid.nih.gov/transcriptome/C_felis/S2/links/NR/Cf-2-NR.txt","flagellar hook-length control protein")</f>
        <v>flagellar hook-length control protein</v>
      </c>
      <c r="AG35" t="str">
        <f>HYPERLINK("http://www.ncbi.nlm.nih.gov/sutils/blink.cgi?pid=291286227","5.1")</f>
        <v>5.1</v>
      </c>
      <c r="AH35" t="str">
        <f>HYPERLINK("http://www.ncbi.nlm.nih.gov/protein/291286227","gi|291286227")</f>
        <v>gi|291286227</v>
      </c>
      <c r="AI35">
        <v>34.700000000000003</v>
      </c>
      <c r="AJ35">
        <v>36</v>
      </c>
      <c r="AK35">
        <v>388</v>
      </c>
      <c r="AL35">
        <v>43</v>
      </c>
      <c r="AM35">
        <v>10</v>
      </c>
      <c r="AN35" t="s">
        <v>135</v>
      </c>
      <c r="AO35" s="4" t="str">
        <f>HYPERLINK("http://exon.niaid.nih.gov/transcriptome/C_felis/S2/links/SWISSP/Cf-2-SWISSP.txt","Inorganic phosphate transporter 1-11")</f>
        <v>Inorganic phosphate transporter 1-11</v>
      </c>
      <c r="AP35" t="str">
        <f>HYPERLINK("http://www.uniprot.org/uniprot/Q94DB8","5.5")</f>
        <v>5.5</v>
      </c>
      <c r="AQ35" t="s">
        <v>136</v>
      </c>
      <c r="AR35">
        <v>29.6</v>
      </c>
      <c r="AS35">
        <v>33</v>
      </c>
      <c r="AT35">
        <v>555</v>
      </c>
      <c r="AU35">
        <v>45</v>
      </c>
      <c r="AV35">
        <v>6</v>
      </c>
      <c r="AW35" t="s">
        <v>137</v>
      </c>
      <c r="AX35" s="4" t="s">
        <v>7</v>
      </c>
      <c r="AY35" t="s">
        <v>7</v>
      </c>
      <c r="AZ35" t="s">
        <v>7</v>
      </c>
      <c r="BA35" t="s">
        <v>7</v>
      </c>
      <c r="BB35" t="s">
        <v>7</v>
      </c>
      <c r="BC35" t="s">
        <v>7</v>
      </c>
      <c r="BD35" t="s">
        <v>7</v>
      </c>
      <c r="BE35" t="s">
        <v>7</v>
      </c>
      <c r="BF35" t="s">
        <v>7</v>
      </c>
      <c r="BG35" t="s">
        <v>7</v>
      </c>
      <c r="BH35" t="s">
        <v>7</v>
      </c>
      <c r="BI35" t="s">
        <v>7</v>
      </c>
      <c r="BJ35" t="s">
        <v>7</v>
      </c>
      <c r="BK35" t="s">
        <v>7</v>
      </c>
      <c r="BL35" t="s">
        <v>7</v>
      </c>
      <c r="BM35" t="s">
        <v>7</v>
      </c>
      <c r="BN35" t="s">
        <v>7</v>
      </c>
      <c r="BO35" t="s">
        <v>7</v>
      </c>
      <c r="BP35" t="s">
        <v>7</v>
      </c>
      <c r="BQ35" t="s">
        <v>7</v>
      </c>
      <c r="BR35" t="s">
        <v>7</v>
      </c>
      <c r="BS35" t="s">
        <v>7</v>
      </c>
      <c r="BT35" t="s">
        <v>7</v>
      </c>
      <c r="BU35" s="4" t="str">
        <f>HYPERLINK("http://exon.niaid.nih.gov/transcriptome/C_felis/S2/links/KOG/Cf-2-KOG.txt","Ca2+ release channel (ryanodine receptor)")</f>
        <v>Ca2+ release channel (ryanodine receptor)</v>
      </c>
      <c r="BV35" t="str">
        <f>HYPERLINK("http://www.ncbi.nlm.nih.gov/COG/grace/shokog.cgi?KOG2243","2.7")</f>
        <v>2.7</v>
      </c>
      <c r="BW35" t="s">
        <v>86</v>
      </c>
      <c r="BX35" t="str">
        <f>HYPERLINK("http://exon.niaid.nih.gov/transcriptome/C_felis/S2/links/KOG/Cf-2-KOG.txt","KOG2243")</f>
        <v>KOG2243</v>
      </c>
      <c r="BY35" s="4" t="str">
        <f>HYPERLINK("http://exon.niaid.nih.gov/transcriptome/C_felis/S2/links/CDD/Cf-2-CDD.txt","RR_TM4-6")</f>
        <v>RR_TM4-6</v>
      </c>
      <c r="BZ35" t="str">
        <f>HYPERLINK("http://www.ncbi.nlm.nih.gov/Structure/cdd/cddsrv.cgi?uid=pfam06459&amp;version=v4.0","6.0")</f>
        <v>6.0</v>
      </c>
      <c r="CA35" t="s">
        <v>138</v>
      </c>
      <c r="CB35" s="4" t="str">
        <f>HYPERLINK("http://exon.niaid.nih.gov/transcriptome/C_felis/S2/links/PFAM/Cf-2-PFAM.txt","RR_TM4-6")</f>
        <v>RR_TM4-6</v>
      </c>
      <c r="CC35" t="str">
        <f>HYPERLINK("http://pfam.sanger.ac.uk/family?acc=PF06459","1.3")</f>
        <v>1.3</v>
      </c>
      <c r="CD35" s="4" t="str">
        <f>HYPERLINK("http://exon.niaid.nih.gov/transcriptome/C_felis/S2/links/SMART/Cf-2-SMART.txt","PRP")</f>
        <v>PRP</v>
      </c>
      <c r="CE35" t="str">
        <f>HYPERLINK("http://smart.embl-heidelberg.de/smart/do_annotation.pl?DOMAIN=PRP&amp;BLAST=DUMMY","6.6")</f>
        <v>6.6</v>
      </c>
      <c r="CF35" s="4" t="s">
        <v>7</v>
      </c>
      <c r="CG35" t="s">
        <v>7</v>
      </c>
      <c r="CH35" t="s">
        <v>7</v>
      </c>
      <c r="CI35" t="s">
        <v>7</v>
      </c>
      <c r="CJ35" t="s">
        <v>7</v>
      </c>
      <c r="CK35" s="7">
        <f>HYPERLINK("http://exon.niaid.nih.gov/transcriptome/C_felis/S2/links/cluster/cf-pep95-2-Id-CLU3.txt", 3)</f>
        <v>3</v>
      </c>
      <c r="CL35" s="2">
        <f>HYPERLINK("http://exon.niaid.nih.gov/transcriptome/C_felis/S2/links/cluster/cf-pep95-2-Id-CLTL3.txt", 5)</f>
        <v>5</v>
      </c>
      <c r="CM35" s="7">
        <f>HYPERLINK("http://exon.niaid.nih.gov/transcriptome/C_felis/S2/links/cluster/cf-pep100-3-Id-CLU3.txt", 3)</f>
        <v>3</v>
      </c>
      <c r="CN35" s="2">
        <f>HYPERLINK("http://exon.niaid.nih.gov/transcriptome/C_felis/S2/links/cluster/cf-pep100-3-Id-CLTL3.txt", 5)</f>
        <v>5</v>
      </c>
      <c r="CO35" s="7">
        <f>HYPERLINK("http://exon.niaid.nih.gov/transcriptome/C_felis/S2/links/cluster/cf-pep100-4-Id-CLU3.txt", 3)</f>
        <v>3</v>
      </c>
      <c r="CP35" s="2">
        <f>HYPERLINK("http://exon.niaid.nih.gov/transcriptome/C_felis/S2/links/cluster/cf-pep100-4-Id-CLTL3.txt", 5)</f>
        <v>5</v>
      </c>
      <c r="CQ35" s="7">
        <f>HYPERLINK("http://exon.niaid.nih.gov/transcriptome/C_felis/S2/links/cluster/cf-pep25-50-Sim-CLU1.txt", 1)</f>
        <v>1</v>
      </c>
      <c r="CR35" s="2">
        <f>HYPERLINK("http://exon.niaid.nih.gov/transcriptome/C_felis/S2/links/cluster/cf-pep25-50-Sim-CLTL1.txt", 45)</f>
        <v>45</v>
      </c>
      <c r="CS35" s="7">
        <f>HYPERLINK("http://exon.niaid.nih.gov/transcriptome/C_felis/S2/links/cluster/cf-pep30-50-Sim-CLU3.txt", 3)</f>
        <v>3</v>
      </c>
      <c r="CT35" s="2">
        <f>HYPERLINK("http://exon.niaid.nih.gov/transcriptome/C_felis/S2/links/cluster/cf-pep30-50-Sim-CLTL3.txt", 6)</f>
        <v>6</v>
      </c>
      <c r="CU35" s="7">
        <f>HYPERLINK("http://exon.niaid.nih.gov/transcriptome/C_felis/S2/links/cluster/cf-pep35-50-Sim-CLU3.txt", 3)</f>
        <v>3</v>
      </c>
      <c r="CV35" s="2">
        <f>HYPERLINK("http://exon.niaid.nih.gov/transcriptome/C_felis/S2/links/cluster/cf-pep35-50-Sim-CLTL3.txt", 5)</f>
        <v>5</v>
      </c>
      <c r="CW35" s="7">
        <f>HYPERLINK("http://exon.niaid.nih.gov/transcriptome/C_felis/S2/links/cluster/cf-pep40-50-Sim-CLU3.txt", 3)</f>
        <v>3</v>
      </c>
      <c r="CX35" s="2">
        <f>HYPERLINK("http://exon.niaid.nih.gov/transcriptome/C_felis/S2/links/cluster/cf-pep40-50-Sim-CLTL3.txt", 5)</f>
        <v>5</v>
      </c>
      <c r="CY35" s="7">
        <f>HYPERLINK("http://exon.niaid.nih.gov/transcriptome/C_felis/S2/links/cluster/cf-pep45-50-Sim-CLU3.txt", 3)</f>
        <v>3</v>
      </c>
      <c r="CZ35" s="2">
        <f>HYPERLINK("http://exon.niaid.nih.gov/transcriptome/C_felis/S2/links/cluster/cf-pep45-50-Sim-CLTL3.txt", 5)</f>
        <v>5</v>
      </c>
      <c r="DA35" s="7">
        <f>HYPERLINK("http://exon.niaid.nih.gov/transcriptome/C_felis/S2/links/cluster/cf-pep50-50-Sim-CLU4.txt", 4)</f>
        <v>4</v>
      </c>
      <c r="DB35" s="2">
        <f>HYPERLINK("http://exon.niaid.nih.gov/transcriptome/C_felis/S2/links/cluster/cf-pep50-50-Sim-CLTL4.txt", 5)</f>
        <v>5</v>
      </c>
      <c r="DC35" s="7">
        <f>HYPERLINK("http://exon.niaid.nih.gov/transcriptome/C_felis/S2/links/cluster/cf-pep55-50-Sim-CLU3.txt", 3)</f>
        <v>3</v>
      </c>
      <c r="DD35" s="2">
        <f>HYPERLINK("http://exon.niaid.nih.gov/transcriptome/C_felis/S2/links/cluster/cf-pep55-50-Sim-CLTL3.txt", 5)</f>
        <v>5</v>
      </c>
      <c r="DE35" s="7">
        <f>HYPERLINK("http://exon.niaid.nih.gov/transcriptome/C_felis/S2/links/cluster/cf-pep60-50-Sim-CLU3.txt", 3)</f>
        <v>3</v>
      </c>
      <c r="DF35" s="2">
        <f>HYPERLINK("http://exon.niaid.nih.gov/transcriptome/C_felis/S2/links/cluster/cf-pep60-50-Sim-CLTL3.txt", 5)</f>
        <v>5</v>
      </c>
      <c r="DG35" s="7">
        <f>HYPERLINK("http://exon.niaid.nih.gov/transcriptome/C_felis/S2/links/cluster/cf-pep65-50-Sim-CLU2.txt", 2)</f>
        <v>2</v>
      </c>
      <c r="DH35" s="2">
        <f>HYPERLINK("http://exon.niaid.nih.gov/transcriptome/C_felis/S2/links/cluster/cf-pep65-50-Sim-CLTL2.txt", 5)</f>
        <v>5</v>
      </c>
      <c r="DI35" s="7">
        <f>HYPERLINK("http://exon.niaid.nih.gov/transcriptome/C_felis/S2/links/cluster/cf-pep70-50-Sim-CLU1.txt", 1)</f>
        <v>1</v>
      </c>
      <c r="DJ35" s="2">
        <f>HYPERLINK("http://exon.niaid.nih.gov/transcriptome/C_felis/S2/links/cluster/cf-pep70-50-Sim-CLTL1.txt", 5)</f>
        <v>5</v>
      </c>
      <c r="DK35" s="7">
        <f>HYPERLINK("http://exon.niaid.nih.gov/transcriptome/C_felis/S2/links/cluster/cf-pep75-50-Sim-CLU1.txt", 1)</f>
        <v>1</v>
      </c>
      <c r="DL35" s="2">
        <f>HYPERLINK("http://exon.niaid.nih.gov/transcriptome/C_felis/S2/links/cluster/cf-pep75-50-Sim-CLTL1.txt", 5)</f>
        <v>5</v>
      </c>
      <c r="DM35" s="7">
        <f>HYPERLINK("http://exon.niaid.nih.gov/transcriptome/C_felis/S2/links/cluster/cf-pep80-50-Sim-CLU1.txt", 1)</f>
        <v>1</v>
      </c>
      <c r="DN35" s="2">
        <f>HYPERLINK("http://exon.niaid.nih.gov/transcriptome/C_felis/S2/links/cluster/cf-pep80-50-Sim-CLTL1.txt", 5)</f>
        <v>5</v>
      </c>
      <c r="DO35" s="7">
        <f>HYPERLINK("http://exon.niaid.nih.gov/transcriptome/C_felis/S2/links/cluster/cf-pep85-50-Sim-CLU1.txt", 1)</f>
        <v>1</v>
      </c>
      <c r="DP35" s="2">
        <f>HYPERLINK("http://exon.niaid.nih.gov/transcriptome/C_felis/S2/links/cluster/cf-pep85-50-Sim-CLTL1.txt", 5)</f>
        <v>5</v>
      </c>
      <c r="DQ35" s="7">
        <f>HYPERLINK("http://exon.niaid.nih.gov/transcriptome/C_felis/S2/links/cluster/cf-pep90-50-Sim-CLU1.txt", 1)</f>
        <v>1</v>
      </c>
      <c r="DR35" s="2">
        <f>HYPERLINK("http://exon.niaid.nih.gov/transcriptome/C_felis/S2/links/cluster/cf-pep90-50-Sim-CLTL1.txt", 5)</f>
        <v>5</v>
      </c>
      <c r="DS35" s="7">
        <f>HYPERLINK("http://exon.niaid.nih.gov/transcriptome/C_felis/S2/links/cluster/cf-pep95-50-Sim-CLU1.txt", 1)</f>
        <v>1</v>
      </c>
      <c r="DT35" s="2">
        <f>HYPERLINK("http://exon.niaid.nih.gov/transcriptome/C_felis/S2/links/cluster/cf-pep95-50-Sim-CLTL1.txt", 5)</f>
        <v>5</v>
      </c>
    </row>
    <row r="36" spans="1:124" x14ac:dyDescent="0.2">
      <c r="A36" t="str">
        <f>HYPERLINK("http://exon.niaid.nih.gov/transcriptome/C_felis/S2/links/pep/Cf-5-pep.txt","Cf-5")</f>
        <v>Cf-5</v>
      </c>
      <c r="B36" s="2">
        <v>10</v>
      </c>
      <c r="C36">
        <v>47</v>
      </c>
      <c r="D36" t="str">
        <f>HYPERLINK("http://exon.niaid.nih.gov/transcriptome/C_felis/S2/links/cds/Cf-5-cds.txt","Cf-5")</f>
        <v>Cf-5</v>
      </c>
      <c r="E36">
        <v>144</v>
      </c>
      <c r="F36" t="s">
        <v>443</v>
      </c>
      <c r="G36">
        <v>0</v>
      </c>
      <c r="I36" s="2" t="s">
        <v>9</v>
      </c>
      <c r="J36" s="2" t="s">
        <v>3</v>
      </c>
      <c r="K36" s="20" t="str">
        <f>HYPERLINK("http://exon.niaid.nih.gov/transcriptome/C_felis/S2/links/Sigp/Cf-5-SigP.txt","SIG")</f>
        <v>SIG</v>
      </c>
      <c r="L36" s="2" t="s">
        <v>564</v>
      </c>
      <c r="M36" s="2">
        <v>4.9169999999999998</v>
      </c>
      <c r="N36" s="2">
        <v>9.82</v>
      </c>
      <c r="O36" s="2">
        <v>2.2959999999999998</v>
      </c>
      <c r="P36" s="2">
        <v>9.99</v>
      </c>
      <c r="Q36" s="24" t="s">
        <v>568</v>
      </c>
      <c r="R36" s="20" t="str">
        <f>HYPERLINK("http://exon.niaid.nih.gov/transcriptome/C_felis/S2/links/tmhmm/CF-5-tmhmm.txt","1")</f>
        <v>1</v>
      </c>
      <c r="S36" s="2">
        <v>40.4</v>
      </c>
      <c r="T36" s="2">
        <v>48.9</v>
      </c>
      <c r="U36" s="2">
        <v>10.6</v>
      </c>
      <c r="V36" s="2" t="s">
        <v>7</v>
      </c>
      <c r="W36" s="2">
        <v>23</v>
      </c>
      <c r="X36" s="20" t="str">
        <f>HYPERLINK("http://exon.niaid.nih.gov/transcriptome/C_felis/S2/links/netoglyc/CF-5-netoglyc.txt","0")</f>
        <v>0</v>
      </c>
      <c r="Y36" s="2">
        <v>8.5</v>
      </c>
      <c r="Z36" s="2">
        <v>12.8</v>
      </c>
      <c r="AA36" s="2">
        <v>6.4</v>
      </c>
      <c r="AB36" t="s">
        <v>441</v>
      </c>
      <c r="AC36" t="s">
        <v>456</v>
      </c>
      <c r="AD36" t="s">
        <v>443</v>
      </c>
      <c r="AE36" s="2">
        <v>10</v>
      </c>
      <c r="AF36" s="4" t="str">
        <f>HYPERLINK("http://exon.niaid.nih.gov/transcriptome/C_felis/S2/links/NR/Cf-5-NR.txt","putative secreted salivary protein")</f>
        <v>putative secreted salivary protein</v>
      </c>
      <c r="AG36" t="str">
        <f>HYPERLINK("http://www.ncbi.nlm.nih.gov/sutils/blink.cgi?pid=121511962","5.1")</f>
        <v>5.1</v>
      </c>
      <c r="AH36" t="str">
        <f>HYPERLINK("http://www.ncbi.nlm.nih.gov/protein/121511962","gi|121511962")</f>
        <v>gi|121511962</v>
      </c>
      <c r="AI36">
        <v>34.700000000000003</v>
      </c>
      <c r="AJ36">
        <v>49</v>
      </c>
      <c r="AK36">
        <v>59</v>
      </c>
      <c r="AL36">
        <v>40</v>
      </c>
      <c r="AM36">
        <v>85</v>
      </c>
      <c r="AN36" t="s">
        <v>63</v>
      </c>
      <c r="AO36" s="4" t="str">
        <f>HYPERLINK("http://exon.niaid.nih.gov/transcriptome/C_felis/S2/links/SWISSP/Cf-5-SWISSP.txt","Packaging protein 68")</f>
        <v>Packaging protein 68</v>
      </c>
      <c r="AP36" t="str">
        <f>HYPERLINK("http://www.uniprot.org/uniprot/Q66671","16")</f>
        <v>16</v>
      </c>
      <c r="AQ36" t="s">
        <v>337</v>
      </c>
      <c r="AR36">
        <v>28.1</v>
      </c>
      <c r="AS36">
        <v>17</v>
      </c>
      <c r="AT36">
        <v>496</v>
      </c>
      <c r="AU36">
        <v>66</v>
      </c>
      <c r="AV36">
        <v>4</v>
      </c>
      <c r="AW36" t="s">
        <v>338</v>
      </c>
      <c r="AX36" s="4" t="s">
        <v>7</v>
      </c>
      <c r="AY36" t="s">
        <v>7</v>
      </c>
      <c r="AZ36" t="s">
        <v>7</v>
      </c>
      <c r="BA36" t="s">
        <v>7</v>
      </c>
      <c r="BB36" t="s">
        <v>7</v>
      </c>
      <c r="BC36" t="s">
        <v>7</v>
      </c>
      <c r="BD36" t="s">
        <v>7</v>
      </c>
      <c r="BE36" t="s">
        <v>7</v>
      </c>
      <c r="BF36" t="s">
        <v>7</v>
      </c>
      <c r="BG36" t="s">
        <v>7</v>
      </c>
      <c r="BH36" t="s">
        <v>7</v>
      </c>
      <c r="BI36" t="s">
        <v>7</v>
      </c>
      <c r="BJ36" t="s">
        <v>7</v>
      </c>
      <c r="BK36" t="s">
        <v>7</v>
      </c>
      <c r="BL36" t="s">
        <v>7</v>
      </c>
      <c r="BM36" t="s">
        <v>7</v>
      </c>
      <c r="BN36" t="s">
        <v>7</v>
      </c>
      <c r="BO36" t="s">
        <v>7</v>
      </c>
      <c r="BP36" t="s">
        <v>7</v>
      </c>
      <c r="BQ36" t="s">
        <v>7</v>
      </c>
      <c r="BR36" t="s">
        <v>7</v>
      </c>
      <c r="BS36" t="s">
        <v>7</v>
      </c>
      <c r="BT36" t="s">
        <v>7</v>
      </c>
      <c r="BU36" s="4" t="str">
        <f>HYPERLINK("http://exon.niaid.nih.gov/transcriptome/C_felis/S2/links/KOG/Cf-5-KOG.txt","Ca2+ release channel (ryanodine receptor)")</f>
        <v>Ca2+ release channel (ryanodine receptor)</v>
      </c>
      <c r="BV36" t="str">
        <f>HYPERLINK("http://www.ncbi.nlm.nih.gov/COG/grace/shokog.cgi?KOG2243","7.6")</f>
        <v>7.6</v>
      </c>
      <c r="BW36" t="s">
        <v>86</v>
      </c>
      <c r="BX36" t="str">
        <f>HYPERLINK("http://exon.niaid.nih.gov/transcriptome/C_felis/S2/links/KOG/Cf-5-KOG.txt","KOG2243")</f>
        <v>KOG2243</v>
      </c>
      <c r="BY36" s="4" t="str">
        <f>HYPERLINK("http://exon.niaid.nih.gov/transcriptome/C_felis/S2/links/CDD/Cf-5-CDD.txt","RR_TM4-6")</f>
        <v>RR_TM4-6</v>
      </c>
      <c r="BZ36" t="str">
        <f>HYPERLINK("http://www.ncbi.nlm.nih.gov/Structure/cdd/cddsrv.cgi?uid=pfam06459&amp;version=v4.0","5.1")</f>
        <v>5.1</v>
      </c>
      <c r="CA36" t="s">
        <v>339</v>
      </c>
      <c r="CB36" s="4" t="str">
        <f>HYPERLINK("http://exon.niaid.nih.gov/transcriptome/C_felis/S2/links/PFAM/Cf-5-PFAM.txt","RR_TM4-6")</f>
        <v>RR_TM4-6</v>
      </c>
      <c r="CC36" t="str">
        <f>HYPERLINK("http://pfam.sanger.ac.uk/family?acc=PF06459","1.1")</f>
        <v>1.1</v>
      </c>
      <c r="CD36" s="4" t="str">
        <f>HYPERLINK("http://exon.niaid.nih.gov/transcriptome/C_felis/S2/links/SMART/Cf-5-SMART.txt","Bac_rhodopsin")</f>
        <v>Bac_rhodopsin</v>
      </c>
      <c r="CE36" t="str">
        <f>HYPERLINK("http://smart.embl-heidelberg.de/smart/do_annotation.pl?DOMAIN=Bac_rhodopsin&amp;BLAST=DUMMY","2.5")</f>
        <v>2.5</v>
      </c>
      <c r="CF36" s="4" t="s">
        <v>7</v>
      </c>
      <c r="CG36" t="s">
        <v>7</v>
      </c>
      <c r="CH36" t="s">
        <v>7</v>
      </c>
      <c r="CI36" t="s">
        <v>7</v>
      </c>
      <c r="CJ36" t="s">
        <v>7</v>
      </c>
      <c r="CK36" s="7">
        <f>HYPERLINK("http://exon.niaid.nih.gov/transcriptome/C_felis/S2/links/cluster/cf-pep95-2-Id-CLU3.txt", 3)</f>
        <v>3</v>
      </c>
      <c r="CL36" s="2">
        <f>HYPERLINK("http://exon.niaid.nih.gov/transcriptome/C_felis/S2/links/cluster/cf-pep95-2-Id-CLTL3.txt", 5)</f>
        <v>5</v>
      </c>
      <c r="CM36" s="7">
        <f>HYPERLINK("http://exon.niaid.nih.gov/transcriptome/C_felis/S2/links/cluster/cf-pep100-3-Id-CLU3.txt", 3)</f>
        <v>3</v>
      </c>
      <c r="CN36" s="2">
        <f>HYPERLINK("http://exon.niaid.nih.gov/transcriptome/C_felis/S2/links/cluster/cf-pep100-3-Id-CLTL3.txt", 5)</f>
        <v>5</v>
      </c>
      <c r="CO36" s="7">
        <f>HYPERLINK("http://exon.niaid.nih.gov/transcriptome/C_felis/S2/links/cluster/cf-pep100-4-Id-CLU3.txt", 3)</f>
        <v>3</v>
      </c>
      <c r="CP36" s="2">
        <f>HYPERLINK("http://exon.niaid.nih.gov/transcriptome/C_felis/S2/links/cluster/cf-pep100-4-Id-CLTL3.txt", 5)</f>
        <v>5</v>
      </c>
      <c r="CQ36" s="7">
        <f>HYPERLINK("http://exon.niaid.nih.gov/transcriptome/C_felis/S2/links/cluster/cf-pep25-50-Sim-CLU1.txt", 1)</f>
        <v>1</v>
      </c>
      <c r="CR36" s="2">
        <f>HYPERLINK("http://exon.niaid.nih.gov/transcriptome/C_felis/S2/links/cluster/cf-pep25-50-Sim-CLTL1.txt", 45)</f>
        <v>45</v>
      </c>
      <c r="CS36" s="7">
        <f>HYPERLINK("http://exon.niaid.nih.gov/transcriptome/C_felis/S2/links/cluster/cf-pep30-50-Sim-CLU3.txt", 3)</f>
        <v>3</v>
      </c>
      <c r="CT36" s="2">
        <f>HYPERLINK("http://exon.niaid.nih.gov/transcriptome/C_felis/S2/links/cluster/cf-pep30-50-Sim-CLTL3.txt", 6)</f>
        <v>6</v>
      </c>
      <c r="CU36" s="7">
        <f>HYPERLINK("http://exon.niaid.nih.gov/transcriptome/C_felis/S2/links/cluster/cf-pep35-50-Sim-CLU3.txt", 3)</f>
        <v>3</v>
      </c>
      <c r="CV36" s="2">
        <f>HYPERLINK("http://exon.niaid.nih.gov/transcriptome/C_felis/S2/links/cluster/cf-pep35-50-Sim-CLTL3.txt", 5)</f>
        <v>5</v>
      </c>
      <c r="CW36" s="7">
        <f>HYPERLINK("http://exon.niaid.nih.gov/transcriptome/C_felis/S2/links/cluster/cf-pep40-50-Sim-CLU3.txt", 3)</f>
        <v>3</v>
      </c>
      <c r="CX36" s="2">
        <f>HYPERLINK("http://exon.niaid.nih.gov/transcriptome/C_felis/S2/links/cluster/cf-pep40-50-Sim-CLTL3.txt", 5)</f>
        <v>5</v>
      </c>
      <c r="CY36" s="7">
        <f>HYPERLINK("http://exon.niaid.nih.gov/transcriptome/C_felis/S2/links/cluster/cf-pep45-50-Sim-CLU3.txt", 3)</f>
        <v>3</v>
      </c>
      <c r="CZ36" s="2">
        <f>HYPERLINK("http://exon.niaid.nih.gov/transcriptome/C_felis/S2/links/cluster/cf-pep45-50-Sim-CLTL3.txt", 5)</f>
        <v>5</v>
      </c>
      <c r="DA36" s="7">
        <f>HYPERLINK("http://exon.niaid.nih.gov/transcriptome/C_felis/S2/links/cluster/cf-pep50-50-Sim-CLU4.txt", 4)</f>
        <v>4</v>
      </c>
      <c r="DB36" s="2">
        <f>HYPERLINK("http://exon.niaid.nih.gov/transcriptome/C_felis/S2/links/cluster/cf-pep50-50-Sim-CLTL4.txt", 5)</f>
        <v>5</v>
      </c>
      <c r="DC36" s="7">
        <f>HYPERLINK("http://exon.niaid.nih.gov/transcriptome/C_felis/S2/links/cluster/cf-pep55-50-Sim-CLU3.txt", 3)</f>
        <v>3</v>
      </c>
      <c r="DD36" s="2">
        <f>HYPERLINK("http://exon.niaid.nih.gov/transcriptome/C_felis/S2/links/cluster/cf-pep55-50-Sim-CLTL3.txt", 5)</f>
        <v>5</v>
      </c>
      <c r="DE36" s="7">
        <f>HYPERLINK("http://exon.niaid.nih.gov/transcriptome/C_felis/S2/links/cluster/cf-pep60-50-Sim-CLU3.txt", 3)</f>
        <v>3</v>
      </c>
      <c r="DF36" s="2">
        <f>HYPERLINK("http://exon.niaid.nih.gov/transcriptome/C_felis/S2/links/cluster/cf-pep60-50-Sim-CLTL3.txt", 5)</f>
        <v>5</v>
      </c>
      <c r="DG36" s="7">
        <f>HYPERLINK("http://exon.niaid.nih.gov/transcriptome/C_felis/S2/links/cluster/cf-pep65-50-Sim-CLU2.txt", 2)</f>
        <v>2</v>
      </c>
      <c r="DH36" s="2">
        <f>HYPERLINK("http://exon.niaid.nih.gov/transcriptome/C_felis/S2/links/cluster/cf-pep65-50-Sim-CLTL2.txt", 5)</f>
        <v>5</v>
      </c>
      <c r="DI36" s="7">
        <f>HYPERLINK("http://exon.niaid.nih.gov/transcriptome/C_felis/S2/links/cluster/cf-pep70-50-Sim-CLU1.txt", 1)</f>
        <v>1</v>
      </c>
      <c r="DJ36" s="2">
        <f>HYPERLINK("http://exon.niaid.nih.gov/transcriptome/C_felis/S2/links/cluster/cf-pep70-50-Sim-CLTL1.txt", 5)</f>
        <v>5</v>
      </c>
      <c r="DK36" s="7">
        <f>HYPERLINK("http://exon.niaid.nih.gov/transcriptome/C_felis/S2/links/cluster/cf-pep75-50-Sim-CLU1.txt", 1)</f>
        <v>1</v>
      </c>
      <c r="DL36" s="2">
        <f>HYPERLINK("http://exon.niaid.nih.gov/transcriptome/C_felis/S2/links/cluster/cf-pep75-50-Sim-CLTL1.txt", 5)</f>
        <v>5</v>
      </c>
      <c r="DM36" s="7">
        <f>HYPERLINK("http://exon.niaid.nih.gov/transcriptome/C_felis/S2/links/cluster/cf-pep80-50-Sim-CLU1.txt", 1)</f>
        <v>1</v>
      </c>
      <c r="DN36" s="2">
        <f>HYPERLINK("http://exon.niaid.nih.gov/transcriptome/C_felis/S2/links/cluster/cf-pep80-50-Sim-CLTL1.txt", 5)</f>
        <v>5</v>
      </c>
      <c r="DO36" s="7">
        <f>HYPERLINK("http://exon.niaid.nih.gov/transcriptome/C_felis/S2/links/cluster/cf-pep85-50-Sim-CLU1.txt", 1)</f>
        <v>1</v>
      </c>
      <c r="DP36" s="2">
        <f>HYPERLINK("http://exon.niaid.nih.gov/transcriptome/C_felis/S2/links/cluster/cf-pep85-50-Sim-CLTL1.txt", 5)</f>
        <v>5</v>
      </c>
      <c r="DQ36" s="7">
        <f>HYPERLINK("http://exon.niaid.nih.gov/transcriptome/C_felis/S2/links/cluster/cf-pep90-50-Sim-CLU1.txt", 1)</f>
        <v>1</v>
      </c>
      <c r="DR36" s="2">
        <f>HYPERLINK("http://exon.niaid.nih.gov/transcriptome/C_felis/S2/links/cluster/cf-pep90-50-Sim-CLTL1.txt", 5)</f>
        <v>5</v>
      </c>
      <c r="DS36" s="7">
        <f>HYPERLINK("http://exon.niaid.nih.gov/transcriptome/C_felis/S2/links/cluster/cf-pep95-50-Sim-CLU1.txt", 1)</f>
        <v>1</v>
      </c>
      <c r="DT36" s="2">
        <f>HYPERLINK("http://exon.niaid.nih.gov/transcriptome/C_felis/S2/links/cluster/cf-pep95-50-Sim-CLTL1.txt", 5)</f>
        <v>5</v>
      </c>
    </row>
    <row r="37" spans="1:124" s="3" customFormat="1" x14ac:dyDescent="0.2">
      <c r="A37" s="14" t="s">
        <v>587</v>
      </c>
      <c r="B37" s="3">
        <f>SUM(B33:B36)</f>
        <v>85</v>
      </c>
      <c r="K37" s="1" t="s">
        <v>7</v>
      </c>
      <c r="L37" s="3" t="s">
        <v>7</v>
      </c>
      <c r="M37" s="3" t="s">
        <v>7</v>
      </c>
      <c r="N37" s="3" t="s">
        <v>7</v>
      </c>
      <c r="O37" s="3" t="s">
        <v>7</v>
      </c>
      <c r="P37" s="3" t="s">
        <v>7</v>
      </c>
      <c r="Q37" s="23" t="s">
        <v>7</v>
      </c>
      <c r="R37" s="1" t="s">
        <v>7</v>
      </c>
      <c r="S37" s="3" t="s">
        <v>7</v>
      </c>
      <c r="T37" s="3" t="s">
        <v>7</v>
      </c>
      <c r="U37" s="3" t="s">
        <v>7</v>
      </c>
      <c r="V37" s="3" t="s">
        <v>7</v>
      </c>
      <c r="W37" s="3" t="s">
        <v>7</v>
      </c>
      <c r="X37" s="1" t="s">
        <v>7</v>
      </c>
      <c r="Y37" s="3" t="s">
        <v>7</v>
      </c>
      <c r="Z37" s="3" t="s">
        <v>7</v>
      </c>
      <c r="AA37" s="3" t="s">
        <v>7</v>
      </c>
      <c r="AE37" s="3">
        <f>SUM(AE33:AE36)</f>
        <v>85</v>
      </c>
      <c r="AF37" s="1"/>
      <c r="AO37" s="1"/>
      <c r="AX37" s="1"/>
      <c r="BU37" s="1"/>
      <c r="BY37" s="1"/>
      <c r="CB37" s="1"/>
      <c r="CD37" s="1"/>
      <c r="CF37" s="1"/>
      <c r="CK37" s="6"/>
      <c r="CM37" s="6"/>
      <c r="CO37" s="6"/>
      <c r="CQ37" s="6"/>
      <c r="CS37" s="6"/>
      <c r="CU37" s="6"/>
      <c r="CW37" s="6"/>
      <c r="CY37" s="6"/>
      <c r="DA37" s="6"/>
      <c r="DC37" s="6"/>
      <c r="DE37" s="6"/>
      <c r="DG37" s="6"/>
      <c r="DI37" s="6"/>
      <c r="DK37" s="6"/>
      <c r="DM37" s="6"/>
      <c r="DO37" s="6"/>
      <c r="DQ37" s="6"/>
      <c r="DS37" s="6"/>
    </row>
    <row r="38" spans="1:124" ht="15" thickBot="1" x14ac:dyDescent="0.25">
      <c r="A38" t="str">
        <f>HYPERLINK("http://exon.niaid.nih.gov/transcriptome/C_felis/S2/links/pep/Cf-25-pep.txt","Cf-25")</f>
        <v>Cf-25</v>
      </c>
      <c r="B38" s="2">
        <v>8</v>
      </c>
      <c r="C38">
        <v>60</v>
      </c>
      <c r="D38" t="str">
        <f>HYPERLINK("http://exon.niaid.nih.gov/transcriptome/C_felis/S2/links/cds/Cf-25-cds.txt","Cf-25")</f>
        <v>Cf-25</v>
      </c>
      <c r="E38">
        <v>183</v>
      </c>
      <c r="F38" t="s">
        <v>443</v>
      </c>
      <c r="G38">
        <v>0</v>
      </c>
      <c r="I38" s="2" t="s">
        <v>9</v>
      </c>
      <c r="J38" s="2" t="s">
        <v>3</v>
      </c>
      <c r="K38" s="20" t="str">
        <f>HYPERLINK("http://exon.niaid.nih.gov/transcriptome/C_felis/S2/links/Sigp/Cf-25-SigP.txt","SIG")</f>
        <v>SIG</v>
      </c>
      <c r="L38" s="2" t="s">
        <v>564</v>
      </c>
      <c r="M38" s="2">
        <v>6.27</v>
      </c>
      <c r="N38" s="2">
        <v>9.3000000000000007</v>
      </c>
      <c r="O38" s="2">
        <v>3.6309999999999998</v>
      </c>
      <c r="P38" s="2">
        <v>9.1999999999999993</v>
      </c>
      <c r="Q38" s="24" t="s">
        <v>569</v>
      </c>
      <c r="R38" s="20" t="str">
        <f>HYPERLINK("http://exon.niaid.nih.gov/transcriptome/C_felis/S2/links/tmhmm/CF-25-tmhmm.txt","1")</f>
        <v>1</v>
      </c>
      <c r="S38" s="2">
        <v>28.3</v>
      </c>
      <c r="T38" s="2">
        <v>6.7</v>
      </c>
      <c r="U38" s="2">
        <v>65</v>
      </c>
      <c r="V38" s="2" t="s">
        <v>7</v>
      </c>
      <c r="W38" s="2">
        <v>39</v>
      </c>
      <c r="X38" s="20" t="str">
        <f>HYPERLINK("http://exon.niaid.nih.gov/transcriptome/C_felis/S2/links/netoglyc/CF-25-netoglyc.txt","2")</f>
        <v>2</v>
      </c>
      <c r="Y38" s="2">
        <v>16.7</v>
      </c>
      <c r="Z38" s="2">
        <v>16.7</v>
      </c>
      <c r="AA38" s="2">
        <v>3.3</v>
      </c>
      <c r="AB38" t="s">
        <v>441</v>
      </c>
      <c r="AC38" t="s">
        <v>456</v>
      </c>
      <c r="AD38" t="s">
        <v>443</v>
      </c>
      <c r="AE38" s="2">
        <v>8</v>
      </c>
      <c r="AF38" s="4" t="str">
        <f>HYPERLINK("http://exon.niaid.nih.gov/transcriptome/C_felis/S2/links/NR/Cf-25-NR.txt","hypothetical protein TCSYLVIO_2959")</f>
        <v>hypothetical protein TCSYLVIO_2959</v>
      </c>
      <c r="AG38" t="str">
        <f>HYPERLINK("http://www.ncbi.nlm.nih.gov/sutils/blink.cgi?pid=322825934","11")</f>
        <v>11</v>
      </c>
      <c r="AH38" t="str">
        <f>HYPERLINK("http://www.ncbi.nlm.nih.gov/protein/322825934","gi|322825934")</f>
        <v>gi|322825934</v>
      </c>
      <c r="AI38">
        <v>33.5</v>
      </c>
      <c r="AJ38">
        <v>30</v>
      </c>
      <c r="AK38">
        <v>834</v>
      </c>
      <c r="AL38">
        <v>48</v>
      </c>
      <c r="AM38">
        <v>4</v>
      </c>
      <c r="AN38" t="s">
        <v>315</v>
      </c>
      <c r="AO38" s="4" t="str">
        <f>HYPERLINK("http://exon.niaid.nih.gov/transcriptome/C_felis/S2/links/SWISSP/Cf-25-SWISSP.txt","Envelope glycoprotein")</f>
        <v>Envelope glycoprotein</v>
      </c>
      <c r="AP38" t="str">
        <f>HYPERLINK("http://www.uniprot.org/uniprot/Q7T9D9","2.5")</f>
        <v>2.5</v>
      </c>
      <c r="AQ38" t="s">
        <v>316</v>
      </c>
      <c r="AR38">
        <v>30.8</v>
      </c>
      <c r="AS38">
        <v>30</v>
      </c>
      <c r="AT38">
        <v>676</v>
      </c>
      <c r="AU38">
        <v>48</v>
      </c>
      <c r="AV38">
        <v>5</v>
      </c>
      <c r="AW38" t="s">
        <v>317</v>
      </c>
      <c r="AX38" s="4" t="s">
        <v>7</v>
      </c>
      <c r="AY38" t="s">
        <v>7</v>
      </c>
      <c r="AZ38" t="s">
        <v>7</v>
      </c>
      <c r="BA38" t="s">
        <v>7</v>
      </c>
      <c r="BB38" t="s">
        <v>7</v>
      </c>
      <c r="BC38" t="s">
        <v>7</v>
      </c>
      <c r="BD38" t="s">
        <v>7</v>
      </c>
      <c r="BE38" t="s">
        <v>7</v>
      </c>
      <c r="BF38" t="s">
        <v>7</v>
      </c>
      <c r="BG38" t="s">
        <v>7</v>
      </c>
      <c r="BH38" t="s">
        <v>7</v>
      </c>
      <c r="BI38" t="s">
        <v>7</v>
      </c>
      <c r="BJ38" t="s">
        <v>7</v>
      </c>
      <c r="BK38" t="s">
        <v>7</v>
      </c>
      <c r="BL38" t="s">
        <v>7</v>
      </c>
      <c r="BM38" t="s">
        <v>7</v>
      </c>
      <c r="BN38" t="s">
        <v>7</v>
      </c>
      <c r="BO38" t="s">
        <v>7</v>
      </c>
      <c r="BP38" t="s">
        <v>7</v>
      </c>
      <c r="BQ38" t="s">
        <v>7</v>
      </c>
      <c r="BR38" t="s">
        <v>7</v>
      </c>
      <c r="BS38" t="s">
        <v>7</v>
      </c>
      <c r="BT38" t="s">
        <v>7</v>
      </c>
      <c r="BU38" s="4" t="str">
        <f>HYPERLINK("http://exon.niaid.nih.gov/transcriptome/C_felis/S2/links/KOG/Cf-25-KOG.txt","Vesicular inhibitory amino acid transporter")</f>
        <v>Vesicular inhibitory amino acid transporter</v>
      </c>
      <c r="BV38" t="str">
        <f>HYPERLINK("http://www.ncbi.nlm.nih.gov/COG/grace/shokog.cgi?KOG4303","3.8")</f>
        <v>3.8</v>
      </c>
      <c r="BW38" t="s">
        <v>318</v>
      </c>
      <c r="BX38" t="str">
        <f>HYPERLINK("http://exon.niaid.nih.gov/transcriptome/C_felis/S2/links/KOG/Cf-25-KOG.txt","KOG4303")</f>
        <v>KOG4303</v>
      </c>
      <c r="BY38" s="4" t="str">
        <f>HYPERLINK("http://exon.niaid.nih.gov/transcriptome/C_felis/S2/links/CDD/Cf-25-CDD.txt","mevalon_kin")</f>
        <v>mevalon_kin</v>
      </c>
      <c r="BZ38" t="str">
        <f>HYPERLINK("http://www.ncbi.nlm.nih.gov/Structure/cdd/cddsrv.cgi?uid=TIGR00549&amp;version=v4.0","2.2")</f>
        <v>2.2</v>
      </c>
      <c r="CA38" t="s">
        <v>319</v>
      </c>
      <c r="CB38" s="4" t="str">
        <f>HYPERLINK("http://exon.niaid.nih.gov/transcriptome/C_felis/S2/links/PFAM/Cf-25-PFAM.txt","NifU")</f>
        <v>NifU</v>
      </c>
      <c r="CC38" t="str">
        <f>HYPERLINK("http://pfam.sanger.ac.uk/family?acc=PF01106","3.5")</f>
        <v>3.5</v>
      </c>
      <c r="CD38" s="4" t="str">
        <f>HYPERLINK("http://exon.niaid.nih.gov/transcriptome/C_felis/S2/links/SMART/Cf-25-SMART.txt","A_amylase_inhib")</f>
        <v>A_amylase_inhib</v>
      </c>
      <c r="CE38" t="str">
        <f>HYPERLINK("http://smart.embl-heidelberg.de/smart/do_annotation.pl?DOMAIN=A_amylase_inhib&amp;BLAST=DUMMY","5.7")</f>
        <v>5.7</v>
      </c>
      <c r="CF38" s="4" t="s">
        <v>7</v>
      </c>
      <c r="CG38" t="s">
        <v>7</v>
      </c>
      <c r="CH38" t="s">
        <v>7</v>
      </c>
      <c r="CI38" t="s">
        <v>7</v>
      </c>
      <c r="CJ38" t="s">
        <v>7</v>
      </c>
      <c r="CK38" s="7">
        <v>65</v>
      </c>
      <c r="CL38" s="2">
        <v>1</v>
      </c>
      <c r="CM38" s="7">
        <v>65</v>
      </c>
      <c r="CN38" s="2">
        <v>1</v>
      </c>
      <c r="CO38" s="7">
        <v>65</v>
      </c>
      <c r="CP38" s="2">
        <v>1</v>
      </c>
      <c r="CQ38" s="7">
        <f>HYPERLINK("http://exon.niaid.nih.gov/transcriptome/C_felis/S2/links/cluster/cf-pep25-50-Sim-CLU1.txt", 1)</f>
        <v>1</v>
      </c>
      <c r="CR38" s="2">
        <f>HYPERLINK("http://exon.niaid.nih.gov/transcriptome/C_felis/S2/links/cluster/cf-pep25-50-Sim-CLTL1.txt", 45)</f>
        <v>45</v>
      </c>
      <c r="CS38" s="7">
        <v>58</v>
      </c>
      <c r="CT38" s="2">
        <v>1</v>
      </c>
      <c r="CU38" s="7">
        <v>66</v>
      </c>
      <c r="CV38" s="2">
        <v>1</v>
      </c>
      <c r="CW38" s="7">
        <v>65</v>
      </c>
      <c r="CX38" s="2">
        <v>1</v>
      </c>
      <c r="CY38" s="7">
        <v>68</v>
      </c>
      <c r="CZ38" s="2">
        <v>1</v>
      </c>
      <c r="DA38" s="7">
        <v>70</v>
      </c>
      <c r="DB38" s="2">
        <v>1</v>
      </c>
      <c r="DC38" s="7">
        <v>71</v>
      </c>
      <c r="DD38" s="2">
        <v>1</v>
      </c>
      <c r="DE38" s="7">
        <v>70</v>
      </c>
      <c r="DF38" s="2">
        <v>1</v>
      </c>
      <c r="DG38" s="7">
        <v>70</v>
      </c>
      <c r="DH38" s="2">
        <v>1</v>
      </c>
      <c r="DI38" s="7">
        <v>71</v>
      </c>
      <c r="DJ38" s="2">
        <v>1</v>
      </c>
      <c r="DK38" s="7">
        <v>71</v>
      </c>
      <c r="DL38" s="2">
        <v>1</v>
      </c>
      <c r="DM38" s="7">
        <v>73</v>
      </c>
      <c r="DN38" s="2">
        <v>1</v>
      </c>
      <c r="DO38" s="7">
        <v>74</v>
      </c>
      <c r="DP38" s="2">
        <v>1</v>
      </c>
      <c r="DQ38" s="7">
        <v>74</v>
      </c>
      <c r="DR38" s="2">
        <v>1</v>
      </c>
      <c r="DS38" s="7">
        <v>75</v>
      </c>
      <c r="DT38" s="2">
        <v>1</v>
      </c>
    </row>
    <row r="39" spans="1:124" s="17" customFormat="1" ht="18.75" thickBot="1" x14ac:dyDescent="0.3">
      <c r="A39" s="16" t="s">
        <v>524</v>
      </c>
      <c r="K39" s="15" t="s">
        <v>7</v>
      </c>
      <c r="L39" s="17" t="s">
        <v>7</v>
      </c>
      <c r="M39" s="17" t="s">
        <v>7</v>
      </c>
      <c r="N39" s="17" t="s">
        <v>7</v>
      </c>
      <c r="O39" s="17" t="s">
        <v>7</v>
      </c>
      <c r="P39" s="17" t="s">
        <v>7</v>
      </c>
      <c r="Q39" s="25" t="s">
        <v>7</v>
      </c>
      <c r="R39" s="15" t="s">
        <v>7</v>
      </c>
      <c r="S39" s="17" t="s">
        <v>7</v>
      </c>
      <c r="T39" s="17" t="s">
        <v>7</v>
      </c>
      <c r="U39" s="17" t="s">
        <v>7</v>
      </c>
      <c r="V39" s="17" t="s">
        <v>7</v>
      </c>
      <c r="W39" s="17" t="s">
        <v>7</v>
      </c>
      <c r="X39" s="15" t="s">
        <v>7</v>
      </c>
      <c r="Y39" s="17" t="s">
        <v>7</v>
      </c>
      <c r="Z39" s="17" t="s">
        <v>7</v>
      </c>
      <c r="AA39" s="17" t="s">
        <v>7</v>
      </c>
      <c r="AF39" s="15"/>
      <c r="AO39" s="15"/>
      <c r="AX39" s="15"/>
      <c r="BU39" s="15"/>
      <c r="BY39" s="15"/>
      <c r="CB39" s="15"/>
      <c r="CD39" s="15"/>
      <c r="CF39" s="15"/>
      <c r="CK39" s="15"/>
      <c r="CM39" s="15"/>
      <c r="CO39" s="15"/>
      <c r="CQ39" s="15"/>
      <c r="CS39" s="15"/>
      <c r="CU39" s="15"/>
      <c r="CW39" s="15"/>
      <c r="CY39" s="15"/>
      <c r="DA39" s="15"/>
      <c r="DC39" s="15"/>
      <c r="DE39" s="15"/>
      <c r="DG39" s="15"/>
      <c r="DI39" s="15"/>
      <c r="DK39" s="15"/>
      <c r="DM39" s="15"/>
      <c r="DO39" s="15"/>
      <c r="DQ39" s="15"/>
      <c r="DS39" s="15"/>
    </row>
    <row r="40" spans="1:124" s="3" customFormat="1" x14ac:dyDescent="0.2">
      <c r="A40" s="14" t="s">
        <v>438</v>
      </c>
      <c r="K40" s="1" t="s">
        <v>7</v>
      </c>
      <c r="L40" s="3" t="s">
        <v>7</v>
      </c>
      <c r="M40" s="3" t="s">
        <v>7</v>
      </c>
      <c r="N40" s="3" t="s">
        <v>7</v>
      </c>
      <c r="O40" s="3" t="s">
        <v>7</v>
      </c>
      <c r="P40" s="3" t="s">
        <v>7</v>
      </c>
      <c r="Q40" s="23" t="s">
        <v>7</v>
      </c>
      <c r="R40" s="1" t="s">
        <v>7</v>
      </c>
      <c r="S40" s="3" t="s">
        <v>7</v>
      </c>
      <c r="T40" s="3" t="s">
        <v>7</v>
      </c>
      <c r="U40" s="3" t="s">
        <v>7</v>
      </c>
      <c r="V40" s="3" t="s">
        <v>7</v>
      </c>
      <c r="W40" s="3" t="s">
        <v>7</v>
      </c>
      <c r="X40" s="1" t="s">
        <v>7</v>
      </c>
      <c r="Y40" s="3" t="s">
        <v>7</v>
      </c>
      <c r="Z40" s="3" t="s">
        <v>7</v>
      </c>
      <c r="AA40" s="3" t="s">
        <v>7</v>
      </c>
      <c r="AF40" s="1"/>
      <c r="AO40" s="1"/>
      <c r="AX40" s="1"/>
      <c r="BU40" s="1"/>
      <c r="BY40" s="1"/>
      <c r="CB40" s="1"/>
      <c r="CD40" s="1"/>
      <c r="CF40" s="1"/>
      <c r="CK40" s="6"/>
      <c r="CM40" s="6"/>
      <c r="CO40" s="6"/>
      <c r="CQ40" s="6"/>
      <c r="CS40" s="6"/>
      <c r="CU40" s="6"/>
      <c r="CW40" s="6"/>
      <c r="CY40" s="6"/>
      <c r="DA40" s="6"/>
      <c r="DC40" s="6"/>
      <c r="DE40" s="6"/>
      <c r="DG40" s="6"/>
      <c r="DI40" s="6"/>
      <c r="DK40" s="6"/>
      <c r="DM40" s="6"/>
      <c r="DO40" s="6"/>
      <c r="DQ40" s="6"/>
      <c r="DS40" s="6"/>
    </row>
    <row r="41" spans="1:124" x14ac:dyDescent="0.2">
      <c r="A41" t="str">
        <f>HYPERLINK("http://exon.niaid.nih.gov/transcriptome/C_felis/S2/links/pep/Cf-124-pep.txt","Cf-124")</f>
        <v>Cf-124</v>
      </c>
      <c r="B41" s="2">
        <v>6</v>
      </c>
      <c r="C41">
        <v>99</v>
      </c>
      <c r="D41" t="str">
        <f>HYPERLINK("http://exon.niaid.nih.gov/transcriptome/C_felis/S2/links/cds/Cf-124-cds.txt","Cf-124")</f>
        <v>Cf-124</v>
      </c>
      <c r="E41">
        <v>300</v>
      </c>
      <c r="F41" t="s">
        <v>463</v>
      </c>
      <c r="G41">
        <v>0</v>
      </c>
      <c r="I41" s="2" t="s">
        <v>4</v>
      </c>
      <c r="J41" s="2" t="s">
        <v>3</v>
      </c>
      <c r="K41" s="20" t="str">
        <f>HYPERLINK("http://exon.niaid.nih.gov/transcriptome/C_felis/S2/links/Sigp/Cf-124-SigP.txt","CYT")</f>
        <v>CYT</v>
      </c>
      <c r="L41" s="2" t="s">
        <v>7</v>
      </c>
      <c r="M41" s="2">
        <v>10.853</v>
      </c>
      <c r="N41" s="2">
        <v>10.65</v>
      </c>
      <c r="O41" s="2" t="s">
        <v>7</v>
      </c>
      <c r="P41" s="2" t="s">
        <v>7</v>
      </c>
      <c r="Q41" s="24" t="s">
        <v>556</v>
      </c>
      <c r="R41" s="20">
        <v>0</v>
      </c>
      <c r="S41" s="2" t="s">
        <v>7</v>
      </c>
      <c r="T41" s="2" t="s">
        <v>7</v>
      </c>
      <c r="U41" s="2" t="s">
        <v>7</v>
      </c>
      <c r="V41" s="2" t="s">
        <v>7</v>
      </c>
      <c r="W41" s="2" t="s">
        <v>7</v>
      </c>
      <c r="X41" s="20" t="str">
        <f>HYPERLINK("http://exon.niaid.nih.gov/transcriptome/C_felis/S2/links/netoglyc/CF-124-netoglyc.txt","0")</f>
        <v>0</v>
      </c>
      <c r="Y41" s="2">
        <v>13.1</v>
      </c>
      <c r="Z41" s="2">
        <v>11.1</v>
      </c>
      <c r="AA41" s="2">
        <v>2</v>
      </c>
      <c r="AB41" t="s">
        <v>437</v>
      </c>
      <c r="AC41" t="s">
        <v>438</v>
      </c>
      <c r="AD41" t="s">
        <v>463</v>
      </c>
      <c r="AE41" s="2">
        <v>6</v>
      </c>
      <c r="AF41" s="4" t="str">
        <f>HYPERLINK("http://exon.niaid.nih.gov/transcriptome/C_felis/S2/links/NR/Cf-124-NR.txt","ubiquitin-ribosomal protein S30e fusion protein")</f>
        <v>ubiquitin-ribosomal protein S30e fusion protein</v>
      </c>
      <c r="AG41" t="str">
        <f>HYPERLINK("http://www.ncbi.nlm.nih.gov/sutils/blink.cgi?pid=121512022","2E-045")</f>
        <v>2E-045</v>
      </c>
      <c r="AH41" t="str">
        <f>HYPERLINK("http://www.ncbi.nlm.nih.gov/protein/121512022","gi|121512022")</f>
        <v>gi|121512022</v>
      </c>
      <c r="AI41">
        <v>185</v>
      </c>
      <c r="AJ41">
        <v>96</v>
      </c>
      <c r="AK41">
        <v>130</v>
      </c>
      <c r="AL41">
        <v>94</v>
      </c>
      <c r="AM41">
        <v>75</v>
      </c>
      <c r="AN41" t="s">
        <v>63</v>
      </c>
      <c r="AO41" s="4" t="str">
        <f>HYPERLINK("http://exon.niaid.nih.gov/transcriptome/C_felis/S2/links/SWISSP/Cf-124-SWISSP.txt","40S ribosomal protein S30")</f>
        <v>40S ribosomal protein S30</v>
      </c>
      <c r="AP41" t="str">
        <f>HYPERLINK("http://www.uniprot.org/uniprot/P62864","4E-023")</f>
        <v>4E-023</v>
      </c>
      <c r="AQ41" t="s">
        <v>160</v>
      </c>
      <c r="AR41">
        <v>106</v>
      </c>
      <c r="AS41">
        <v>58</v>
      </c>
      <c r="AT41">
        <v>59</v>
      </c>
      <c r="AU41">
        <v>84</v>
      </c>
      <c r="AV41">
        <v>100</v>
      </c>
      <c r="AW41" t="s">
        <v>65</v>
      </c>
      <c r="AX41" s="4" t="s">
        <v>161</v>
      </c>
      <c r="AY41">
        <f>HYPERLINK("http://exon.niaid.nih.gov/transcriptome/C_felis/S2/links/GO/Cf-124-GO.txt",1E-35)</f>
        <v>1E-35</v>
      </c>
      <c r="AZ41" t="str">
        <f>HYPERLINK("http://amigo.geneontology.org/cgi-bin/amigo/term_details?term=GO:0003735","GO:0003735")</f>
        <v>GO:0003735</v>
      </c>
      <c r="BA41" t="s">
        <v>53</v>
      </c>
      <c r="BB41" t="s">
        <v>54</v>
      </c>
      <c r="BC41" t="s">
        <v>55</v>
      </c>
      <c r="BD41" t="s">
        <v>7</v>
      </c>
      <c r="BF41" s="5">
        <v>1E-35</v>
      </c>
      <c r="BG41" t="str">
        <f>HYPERLINK("http://amigo.geneontology.org/cgi-bin/amigo/term_details?term=GO:0022627","GO:0022627")</f>
        <v>GO:0022627</v>
      </c>
      <c r="BH41" t="s">
        <v>79</v>
      </c>
      <c r="BI41" t="s">
        <v>80</v>
      </c>
      <c r="BJ41" t="s">
        <v>81</v>
      </c>
      <c r="BK41" t="s">
        <v>7</v>
      </c>
      <c r="BM41" s="5">
        <v>1E-35</v>
      </c>
      <c r="BN41" t="str">
        <f>HYPERLINK("http://amigo.geneontology.org/cgi-bin/amigo/term_details?term=GO:0006412","GO:0006412")</f>
        <v>GO:0006412</v>
      </c>
      <c r="BO41" t="s">
        <v>59</v>
      </c>
      <c r="BP41" t="s">
        <v>60</v>
      </c>
      <c r="BQ41" t="s">
        <v>61</v>
      </c>
      <c r="BR41" t="s">
        <v>7</v>
      </c>
      <c r="BT41" s="5">
        <v>1E-35</v>
      </c>
      <c r="BU41" s="4" t="str">
        <f>HYPERLINK("http://exon.niaid.nih.gov/transcriptome/C_felis/S2/links/KOG/Cf-124-KOG.txt","Ubiquitin-like/40S ribosomal S30 protein fusion")</f>
        <v>Ubiquitin-like/40S ribosomal S30 protein fusion</v>
      </c>
      <c r="BV41" t="str">
        <f>HYPERLINK("http://www.ncbi.nlm.nih.gov/COG/grace/shokog.cgi?KOG0009","4E-018")</f>
        <v>4E-018</v>
      </c>
      <c r="BW41" t="s">
        <v>162</v>
      </c>
      <c r="BX41" t="str">
        <f>HYPERLINK("http://exon.niaid.nih.gov/transcriptome/C_felis/S2/links/KOG/Cf-124-KOG.txt","KOG0009")</f>
        <v>KOG0009</v>
      </c>
      <c r="BY41" s="4" t="str">
        <f>HYPERLINK("http://exon.niaid.nih.gov/transcriptome/C_felis/S2/links/CDD/Cf-124-CDD.txt","Ribosomal_S30")</f>
        <v>Ribosomal_S30</v>
      </c>
      <c r="BZ41" t="str">
        <f>HYPERLINK("http://www.ncbi.nlm.nih.gov/Structure/cdd/cddsrv.cgi?uid=pfam04758&amp;version=v4.0","8E-019")</f>
        <v>8E-019</v>
      </c>
      <c r="CA41" t="s">
        <v>163</v>
      </c>
      <c r="CB41" s="4" t="str">
        <f>HYPERLINK("http://exon.niaid.nih.gov/transcriptome/C_felis/S2/links/PFAM/Cf-124-PFAM.txt","Ribosomal_S30")</f>
        <v>Ribosomal_S30</v>
      </c>
      <c r="CC41" t="str">
        <f>HYPERLINK("http://pfam.sanger.ac.uk/family?acc=PF04758","2E-019")</f>
        <v>2E-019</v>
      </c>
      <c r="CD41" s="4" t="str">
        <f>HYPERLINK("http://exon.niaid.nih.gov/transcriptome/C_felis/S2/links/SMART/Cf-124-SMART.txt","TOP1Ac")</f>
        <v>TOP1Ac</v>
      </c>
      <c r="CE41" t="str">
        <f>HYPERLINK("http://smart.embl-heidelberg.de/smart/do_annotation.pl?DOMAIN=TOP1Ac&amp;BLAST=DUMMY","1.3")</f>
        <v>1.3</v>
      </c>
      <c r="CF41" s="4" t="s">
        <v>7</v>
      </c>
      <c r="CG41" t="s">
        <v>7</v>
      </c>
      <c r="CH41" t="s">
        <v>7</v>
      </c>
      <c r="CI41" t="s">
        <v>7</v>
      </c>
      <c r="CJ41" t="s">
        <v>7</v>
      </c>
      <c r="CK41" s="7">
        <v>23</v>
      </c>
      <c r="CL41" s="2">
        <v>1</v>
      </c>
      <c r="CM41" s="7">
        <v>23</v>
      </c>
      <c r="CN41" s="2">
        <v>1</v>
      </c>
      <c r="CO41" s="7">
        <v>23</v>
      </c>
      <c r="CP41" s="2">
        <v>1</v>
      </c>
      <c r="CQ41" s="7">
        <v>22</v>
      </c>
      <c r="CR41" s="2">
        <v>1</v>
      </c>
      <c r="CS41" s="7">
        <v>21</v>
      </c>
      <c r="CT41" s="2">
        <v>1</v>
      </c>
      <c r="CU41" s="7">
        <v>26</v>
      </c>
      <c r="CV41" s="2">
        <v>1</v>
      </c>
      <c r="CW41" s="7">
        <v>24</v>
      </c>
      <c r="CX41" s="2">
        <v>1</v>
      </c>
      <c r="CY41" s="7">
        <v>25</v>
      </c>
      <c r="CZ41" s="2">
        <v>1</v>
      </c>
      <c r="DA41" s="7">
        <v>25</v>
      </c>
      <c r="DB41" s="2">
        <v>1</v>
      </c>
      <c r="DC41" s="7">
        <v>24</v>
      </c>
      <c r="DD41" s="2">
        <v>1</v>
      </c>
      <c r="DE41" s="7">
        <v>23</v>
      </c>
      <c r="DF41" s="2">
        <v>1</v>
      </c>
      <c r="DG41" s="7">
        <v>21</v>
      </c>
      <c r="DH41" s="2">
        <v>1</v>
      </c>
      <c r="DI41" s="7">
        <v>22</v>
      </c>
      <c r="DJ41" s="2">
        <v>1</v>
      </c>
      <c r="DK41" s="7">
        <v>22</v>
      </c>
      <c r="DL41" s="2">
        <v>1</v>
      </c>
      <c r="DM41" s="7">
        <v>21</v>
      </c>
      <c r="DN41" s="2">
        <v>1</v>
      </c>
      <c r="DO41" s="7">
        <v>19</v>
      </c>
      <c r="DP41" s="2">
        <v>1</v>
      </c>
      <c r="DQ41" s="7">
        <v>18</v>
      </c>
      <c r="DR41" s="2">
        <v>1</v>
      </c>
      <c r="DS41" s="7">
        <v>16</v>
      </c>
      <c r="DT41" s="2">
        <v>1</v>
      </c>
    </row>
    <row r="42" spans="1:124" x14ac:dyDescent="0.2">
      <c r="A42" t="str">
        <f>HYPERLINK("http://exon.niaid.nih.gov/transcriptome/C_felis/S2/links/pep/Cf-152-pep.txt","Cf-152")</f>
        <v>Cf-152</v>
      </c>
      <c r="B42" s="2">
        <v>5</v>
      </c>
      <c r="C42">
        <v>122</v>
      </c>
      <c r="D42" t="str">
        <f>HYPERLINK("http://exon.niaid.nih.gov/transcriptome/C_felis/S2/links/cds/Cf-152-cds.txt","Cf-152")</f>
        <v>Cf-152</v>
      </c>
      <c r="E42">
        <v>369</v>
      </c>
      <c r="F42" t="s">
        <v>470</v>
      </c>
      <c r="G42">
        <v>0</v>
      </c>
      <c r="I42" s="2" t="s">
        <v>5</v>
      </c>
      <c r="J42" s="2" t="s">
        <v>3</v>
      </c>
      <c r="K42" s="20" t="str">
        <f>HYPERLINK("http://exon.niaid.nih.gov/transcriptome/C_felis/S2/links/Sigp/Cf-152-SigP.txt","CYT")</f>
        <v>CYT</v>
      </c>
      <c r="L42" s="2" t="s">
        <v>7</v>
      </c>
      <c r="M42" s="2">
        <v>13.88</v>
      </c>
      <c r="N42" s="2">
        <v>10.08</v>
      </c>
      <c r="O42" s="2" t="s">
        <v>7</v>
      </c>
      <c r="P42" s="2" t="s">
        <v>7</v>
      </c>
      <c r="Q42" s="24" t="s">
        <v>548</v>
      </c>
      <c r="R42" s="20">
        <v>0</v>
      </c>
      <c r="S42" s="2" t="s">
        <v>7</v>
      </c>
      <c r="T42" s="2" t="s">
        <v>7</v>
      </c>
      <c r="U42" s="2" t="s">
        <v>7</v>
      </c>
      <c r="V42" s="2" t="s">
        <v>7</v>
      </c>
      <c r="W42" s="2" t="s">
        <v>7</v>
      </c>
      <c r="X42" s="20" t="str">
        <f>HYPERLINK("http://exon.niaid.nih.gov/transcriptome/C_felis/S2/links/netoglyc/CF-152-netoglyc.txt","0")</f>
        <v>0</v>
      </c>
      <c r="Y42" s="2">
        <v>4.0999999999999996</v>
      </c>
      <c r="Z42" s="2">
        <v>10.7</v>
      </c>
      <c r="AA42" s="2">
        <v>4.9000000000000004</v>
      </c>
      <c r="AB42" t="s">
        <v>437</v>
      </c>
      <c r="AC42" t="s">
        <v>438</v>
      </c>
      <c r="AD42" t="s">
        <v>470</v>
      </c>
      <c r="AE42" s="2">
        <v>5</v>
      </c>
      <c r="AF42" s="4" t="str">
        <f>HYPERLINK("http://exon.niaid.nih.gov/transcriptome/C_felis/S2/links/NR/Cf-152-NR.txt","40S ribosomal protein S16")</f>
        <v>40S ribosomal protein S16</v>
      </c>
      <c r="AG42" t="str">
        <f>HYPERLINK("http://www.ncbi.nlm.nih.gov/sutils/blink.cgi?pid=121511948","1E-059")</f>
        <v>1E-059</v>
      </c>
      <c r="AH42" t="str">
        <f>HYPERLINK("http://www.ncbi.nlm.nih.gov/protein/121511948","gi|121511948")</f>
        <v>gi|121511948</v>
      </c>
      <c r="AI42">
        <v>232</v>
      </c>
      <c r="AJ42">
        <v>118</v>
      </c>
      <c r="AK42">
        <v>148</v>
      </c>
      <c r="AL42">
        <v>95</v>
      </c>
      <c r="AM42">
        <v>80</v>
      </c>
      <c r="AN42" t="s">
        <v>63</v>
      </c>
      <c r="AO42" s="4" t="str">
        <f>HYPERLINK("http://exon.niaid.nih.gov/transcriptome/C_felis/S2/links/SWISSP/Cf-152-SWISSP.txt","40S ribosomal protein S16")</f>
        <v>40S ribosomal protein S16</v>
      </c>
      <c r="AP42" t="str">
        <f>HYPERLINK("http://www.uniprot.org/uniprot/Q9W237","4E-057")</f>
        <v>4E-057</v>
      </c>
      <c r="AQ42" t="s">
        <v>194</v>
      </c>
      <c r="AR42">
        <v>219</v>
      </c>
      <c r="AS42">
        <v>118</v>
      </c>
      <c r="AT42">
        <v>148</v>
      </c>
      <c r="AU42">
        <v>89</v>
      </c>
      <c r="AV42">
        <v>80</v>
      </c>
      <c r="AW42" t="s">
        <v>52</v>
      </c>
      <c r="AX42" s="4" t="s">
        <v>195</v>
      </c>
      <c r="AY42">
        <f>HYPERLINK("http://exon.niaid.nih.gov/transcriptome/C_felis/S2/links/GO/Cf-152-GO.txt",3E-57)</f>
        <v>3E-57</v>
      </c>
      <c r="AZ42" t="str">
        <f>HYPERLINK("http://amigo.geneontology.org/cgi-bin/amigo/term_details?term=GO:0003735","GO:0003735")</f>
        <v>GO:0003735</v>
      </c>
      <c r="BA42" t="s">
        <v>53</v>
      </c>
      <c r="BB42" t="s">
        <v>54</v>
      </c>
      <c r="BC42" t="s">
        <v>55</v>
      </c>
      <c r="BD42" t="s">
        <v>7</v>
      </c>
      <c r="BF42" s="5">
        <v>3E-57</v>
      </c>
      <c r="BG42" t="str">
        <f>HYPERLINK("http://amigo.geneontology.org/cgi-bin/amigo/term_details?term=GO:0022627","GO:0022627")</f>
        <v>GO:0022627</v>
      </c>
      <c r="BH42" t="s">
        <v>79</v>
      </c>
      <c r="BI42" t="s">
        <v>80</v>
      </c>
      <c r="BJ42" t="s">
        <v>81</v>
      </c>
      <c r="BK42" t="s">
        <v>7</v>
      </c>
      <c r="BM42" s="5">
        <v>3E-57</v>
      </c>
      <c r="BN42" t="str">
        <f>HYPERLINK("http://amigo.geneontology.org/cgi-bin/amigo/term_details?term=GO:0006412","GO:0006412")</f>
        <v>GO:0006412</v>
      </c>
      <c r="BO42" t="s">
        <v>59</v>
      </c>
      <c r="BP42" t="s">
        <v>60</v>
      </c>
      <c r="BQ42" t="s">
        <v>61</v>
      </c>
      <c r="BR42" t="s">
        <v>7</v>
      </c>
      <c r="BT42" s="5">
        <v>3E-57</v>
      </c>
      <c r="BU42" s="4" t="str">
        <f>HYPERLINK("http://exon.niaid.nih.gov/transcriptome/C_felis/S2/links/KOG/Cf-152-KOG.txt","40S ribosomal protein S16")</f>
        <v>40S ribosomal protein S16</v>
      </c>
      <c r="BV42" t="str">
        <f>HYPERLINK("http://www.ncbi.nlm.nih.gov/COG/grace/shokog.cgi?KOG1753","9E-055")</f>
        <v>9E-055</v>
      </c>
      <c r="BW42" t="s">
        <v>62</v>
      </c>
      <c r="BX42" t="str">
        <f>HYPERLINK("http://exon.niaid.nih.gov/transcriptome/C_felis/S2/links/KOG/Cf-152-KOG.txt","KOG1753")</f>
        <v>KOG1753</v>
      </c>
      <c r="BY42" s="4" t="str">
        <f>HYPERLINK("http://exon.niaid.nih.gov/transcriptome/C_felis/S2/links/CDD/Cf-152-CDD.txt","PTZ00086")</f>
        <v>PTZ00086</v>
      </c>
      <c r="BZ42" t="str">
        <f>HYPERLINK("http://www.ncbi.nlm.nih.gov/Structure/cdd/cddsrv.cgi?uid=PTZ00086&amp;version=v4.0","2E-055")</f>
        <v>2E-055</v>
      </c>
      <c r="CA42" t="s">
        <v>196</v>
      </c>
      <c r="CB42" s="4" t="str">
        <f>HYPERLINK("http://exon.niaid.nih.gov/transcriptome/C_felis/S2/links/PFAM/Cf-152-PFAM.txt","Ribosomal_S9")</f>
        <v>Ribosomal_S9</v>
      </c>
      <c r="CC42" t="str">
        <f>HYPERLINK("http://pfam.sanger.ac.uk/family?acc=PF00380","2E-030")</f>
        <v>2E-030</v>
      </c>
      <c r="CD42" s="4" t="str">
        <f>HYPERLINK("http://exon.niaid.nih.gov/transcriptome/C_felis/S2/links/SMART/Cf-152-SMART.txt","IBN_N")</f>
        <v>IBN_N</v>
      </c>
      <c r="CE42" t="str">
        <f>HYPERLINK("http://smart.embl-heidelberg.de/smart/do_annotation.pl?DOMAIN=IBN_N&amp;BLAST=DUMMY","0.23")</f>
        <v>0.23</v>
      </c>
      <c r="CF42" s="4" t="s">
        <v>7</v>
      </c>
      <c r="CG42" t="s">
        <v>7</v>
      </c>
      <c r="CH42" t="s">
        <v>7</v>
      </c>
      <c r="CI42" t="s">
        <v>7</v>
      </c>
      <c r="CJ42" t="s">
        <v>7</v>
      </c>
      <c r="CK42" s="7">
        <v>30</v>
      </c>
      <c r="CL42" s="2">
        <v>1</v>
      </c>
      <c r="CM42" s="7">
        <v>30</v>
      </c>
      <c r="CN42" s="2">
        <v>1</v>
      </c>
      <c r="CO42" s="7">
        <v>30</v>
      </c>
      <c r="CP42" s="2">
        <v>1</v>
      </c>
      <c r="CQ42" s="7">
        <v>27</v>
      </c>
      <c r="CR42" s="2">
        <v>1</v>
      </c>
      <c r="CS42" s="7">
        <v>27</v>
      </c>
      <c r="CT42" s="2">
        <v>1</v>
      </c>
      <c r="CU42" s="7">
        <v>32</v>
      </c>
      <c r="CV42" s="2">
        <v>1</v>
      </c>
      <c r="CW42" s="7">
        <v>31</v>
      </c>
      <c r="CX42" s="2">
        <v>1</v>
      </c>
      <c r="CY42" s="7">
        <v>32</v>
      </c>
      <c r="CZ42" s="2">
        <v>1</v>
      </c>
      <c r="DA42" s="7">
        <v>32</v>
      </c>
      <c r="DB42" s="2">
        <v>1</v>
      </c>
      <c r="DC42" s="7">
        <v>31</v>
      </c>
      <c r="DD42" s="2">
        <v>1</v>
      </c>
      <c r="DE42" s="7">
        <v>30</v>
      </c>
      <c r="DF42" s="2">
        <v>1</v>
      </c>
      <c r="DG42" s="7">
        <v>30</v>
      </c>
      <c r="DH42" s="2">
        <v>1</v>
      </c>
      <c r="DI42" s="7">
        <v>31</v>
      </c>
      <c r="DJ42" s="2">
        <v>1</v>
      </c>
      <c r="DK42" s="7">
        <v>31</v>
      </c>
      <c r="DL42" s="2">
        <v>1</v>
      </c>
      <c r="DM42" s="7">
        <v>31</v>
      </c>
      <c r="DN42" s="2">
        <v>1</v>
      </c>
      <c r="DO42" s="7">
        <v>29</v>
      </c>
      <c r="DP42" s="2">
        <v>1</v>
      </c>
      <c r="DQ42" s="7">
        <v>29</v>
      </c>
      <c r="DR42" s="2">
        <v>1</v>
      </c>
      <c r="DS42" s="7">
        <v>27</v>
      </c>
      <c r="DT42" s="2">
        <v>1</v>
      </c>
    </row>
    <row r="43" spans="1:124" x14ac:dyDescent="0.2">
      <c r="A43" t="str">
        <f>HYPERLINK("http://exon.niaid.nih.gov/transcriptome/C_felis/S2/links/pep/Cf-146-pep.txt","Cf-146")</f>
        <v>Cf-146</v>
      </c>
      <c r="B43" s="2">
        <v>5</v>
      </c>
      <c r="C43">
        <v>134</v>
      </c>
      <c r="D43" t="str">
        <f>HYPERLINK("http://exon.niaid.nih.gov/transcriptome/C_felis/S2/links/cds/Cf-146-cds.txt","Cf-146")</f>
        <v>Cf-146</v>
      </c>
      <c r="E43">
        <v>405</v>
      </c>
      <c r="F43" t="s">
        <v>468</v>
      </c>
      <c r="G43">
        <v>0</v>
      </c>
      <c r="I43" s="2" t="s">
        <v>4</v>
      </c>
      <c r="J43" s="2" t="s">
        <v>3</v>
      </c>
      <c r="K43" s="20" t="str">
        <f>HYPERLINK("http://exon.niaid.nih.gov/transcriptome/C_felis/S2/links/Sigp/Cf-146-SigP.txt","CYT")</f>
        <v>CYT</v>
      </c>
      <c r="L43" s="2" t="s">
        <v>7</v>
      </c>
      <c r="M43" s="2">
        <v>15.467000000000001</v>
      </c>
      <c r="N43" s="2">
        <v>10.54</v>
      </c>
      <c r="O43" s="2" t="s">
        <v>7</v>
      </c>
      <c r="P43" s="2" t="s">
        <v>7</v>
      </c>
      <c r="Q43" s="24" t="s">
        <v>556</v>
      </c>
      <c r="R43" s="20">
        <v>0</v>
      </c>
      <c r="S43" s="2" t="s">
        <v>7</v>
      </c>
      <c r="T43" s="2" t="s">
        <v>7</v>
      </c>
      <c r="U43" s="2" t="s">
        <v>7</v>
      </c>
      <c r="V43" s="2" t="s">
        <v>7</v>
      </c>
      <c r="W43" s="2" t="s">
        <v>7</v>
      </c>
      <c r="X43" s="20" t="str">
        <f>HYPERLINK("http://exon.niaid.nih.gov/transcriptome/C_felis/S2/links/netoglyc/CF-146-netoglyc.txt","0")</f>
        <v>0</v>
      </c>
      <c r="Y43" s="2">
        <v>11.2</v>
      </c>
      <c r="Z43" s="2">
        <v>9</v>
      </c>
      <c r="AA43" s="2">
        <v>1.5</v>
      </c>
      <c r="AB43" t="s">
        <v>437</v>
      </c>
      <c r="AC43" t="s">
        <v>438</v>
      </c>
      <c r="AD43" t="s">
        <v>468</v>
      </c>
      <c r="AE43" s="2">
        <v>5</v>
      </c>
      <c r="AF43" s="4" t="str">
        <f>HYPERLINK("http://exon.niaid.nih.gov/transcriptome/C_felis/S2/links/NR/Cf-146-NR.txt","ribosomal protein S18")</f>
        <v>ribosomal protein S18</v>
      </c>
      <c r="AG43" t="str">
        <f>HYPERLINK("http://www.ncbi.nlm.nih.gov/sutils/blink.cgi?pid=121512018","1E-069")</f>
        <v>1E-069</v>
      </c>
      <c r="AH43" t="str">
        <f>HYPERLINK("http://www.ncbi.nlm.nih.gov/protein/121512018","gi|121512018")</f>
        <v>gi|121512018</v>
      </c>
      <c r="AI43">
        <v>266</v>
      </c>
      <c r="AJ43">
        <v>131</v>
      </c>
      <c r="AK43">
        <v>152</v>
      </c>
      <c r="AL43">
        <v>99</v>
      </c>
      <c r="AM43">
        <v>87</v>
      </c>
      <c r="AN43" t="s">
        <v>63</v>
      </c>
      <c r="AO43" s="4" t="str">
        <f>HYPERLINK("http://exon.niaid.nih.gov/transcriptome/C_felis/S2/links/SWISSP/Cf-146-SWISSP.txt","40S ribosomal protein S18")</f>
        <v>40S ribosomal protein S18</v>
      </c>
      <c r="AP43" t="str">
        <f>HYPERLINK("http://www.uniprot.org/uniprot/Q962R1","9E-069")</f>
        <v>9E-069</v>
      </c>
      <c r="AQ43" t="s">
        <v>181</v>
      </c>
      <c r="AR43">
        <v>258</v>
      </c>
      <c r="AS43">
        <v>131</v>
      </c>
      <c r="AT43">
        <v>152</v>
      </c>
      <c r="AU43">
        <v>93</v>
      </c>
      <c r="AV43">
        <v>87</v>
      </c>
      <c r="AW43" t="s">
        <v>68</v>
      </c>
      <c r="AX43" s="4" t="s">
        <v>182</v>
      </c>
      <c r="AY43">
        <f>HYPERLINK("http://exon.niaid.nih.gov/transcriptome/C_felis/S2/links/GO/Cf-146-GO.txt",7E-63)</f>
        <v>7.0000000000000001E-63</v>
      </c>
      <c r="AZ43" t="str">
        <f>HYPERLINK("http://amigo.geneontology.org/cgi-bin/amigo/term_details?term=GO:0003735","GO:0003735")</f>
        <v>GO:0003735</v>
      </c>
      <c r="BA43" t="s">
        <v>53</v>
      </c>
      <c r="BB43" t="s">
        <v>54</v>
      </c>
      <c r="BC43" t="s">
        <v>55</v>
      </c>
      <c r="BD43" t="s">
        <v>7</v>
      </c>
      <c r="BF43" s="5">
        <v>7.0000000000000001E-63</v>
      </c>
      <c r="BG43" t="str">
        <f>HYPERLINK("http://amigo.geneontology.org/cgi-bin/amigo/term_details?term=GO:0022627","GO:0022627")</f>
        <v>GO:0022627</v>
      </c>
      <c r="BH43" t="s">
        <v>79</v>
      </c>
      <c r="BI43" t="s">
        <v>80</v>
      </c>
      <c r="BJ43" t="s">
        <v>81</v>
      </c>
      <c r="BK43" t="s">
        <v>7</v>
      </c>
      <c r="BM43" s="5">
        <v>7.0000000000000001E-63</v>
      </c>
      <c r="BN43" t="str">
        <f>HYPERLINK("http://amigo.geneontology.org/cgi-bin/amigo/term_details?term=GO:0006412","GO:0006412")</f>
        <v>GO:0006412</v>
      </c>
      <c r="BO43" t="s">
        <v>59</v>
      </c>
      <c r="BP43" t="s">
        <v>60</v>
      </c>
      <c r="BQ43" t="s">
        <v>61</v>
      </c>
      <c r="BR43" t="s">
        <v>7</v>
      </c>
      <c r="BT43" s="5">
        <v>7.0000000000000001E-63</v>
      </c>
      <c r="BU43" s="4" t="str">
        <f>HYPERLINK("http://exon.niaid.nih.gov/transcriptome/C_felis/S2/links/KOG/Cf-146-KOG.txt","Ribosomal protein S18")</f>
        <v>Ribosomal protein S18</v>
      </c>
      <c r="BV43" t="str">
        <f>HYPERLINK("http://www.ncbi.nlm.nih.gov/COG/grace/shokog.cgi?KOG3311","3E-047")</f>
        <v>3E-047</v>
      </c>
      <c r="BW43" t="s">
        <v>62</v>
      </c>
      <c r="BX43" t="str">
        <f>HYPERLINK("http://exon.niaid.nih.gov/transcriptome/C_felis/S2/links/KOG/Cf-146-KOG.txt","KOG3311")</f>
        <v>KOG3311</v>
      </c>
      <c r="BY43" s="4" t="str">
        <f>HYPERLINK("http://exon.niaid.nih.gov/transcriptome/C_felis/S2/links/CDD/Cf-146-CDD.txt","PTZ00134")</f>
        <v>PTZ00134</v>
      </c>
      <c r="BZ43" t="str">
        <f>HYPERLINK("http://www.ncbi.nlm.nih.gov/Structure/cdd/cddsrv.cgi?uid=PTZ00134&amp;version=v4.0","4E-062")</f>
        <v>4E-062</v>
      </c>
      <c r="CA43" t="s">
        <v>183</v>
      </c>
      <c r="CB43" s="4" t="str">
        <f>HYPERLINK("http://exon.niaid.nih.gov/transcriptome/C_felis/S2/links/PFAM/Cf-146-PFAM.txt","Ribosomal_S13")</f>
        <v>Ribosomal_S13</v>
      </c>
      <c r="CC43" t="str">
        <f>HYPERLINK("http://pfam.sanger.ac.uk/family?acc=PF00416","3E-030")</f>
        <v>3E-030</v>
      </c>
      <c r="CD43" s="4" t="str">
        <f>HYPERLINK("http://exon.niaid.nih.gov/transcriptome/C_felis/S2/links/SMART/Cf-146-SMART.txt","CPSase_L_D3")</f>
        <v>CPSase_L_D3</v>
      </c>
      <c r="CE43" t="str">
        <f>HYPERLINK("http://smart.embl-heidelberg.de/smart/do_annotation.pl?DOMAIN=CPSase_L_D3&amp;BLAST=DUMMY","0.072")</f>
        <v>0.072</v>
      </c>
      <c r="CF43" s="4" t="s">
        <v>7</v>
      </c>
      <c r="CG43" t="s">
        <v>7</v>
      </c>
      <c r="CH43" t="s">
        <v>7</v>
      </c>
      <c r="CI43" t="s">
        <v>7</v>
      </c>
      <c r="CJ43" t="s">
        <v>7</v>
      </c>
      <c r="CK43" s="7">
        <v>27</v>
      </c>
      <c r="CL43" s="2">
        <v>1</v>
      </c>
      <c r="CM43" s="7">
        <v>27</v>
      </c>
      <c r="CN43" s="2">
        <v>1</v>
      </c>
      <c r="CO43" s="7">
        <v>27</v>
      </c>
      <c r="CP43" s="2">
        <v>1</v>
      </c>
      <c r="CQ43" s="7">
        <f>HYPERLINK("http://exon.niaid.nih.gov/transcriptome/C_felis/S2/links/cluster/cf-pep25-50-Sim-CLU11.txt", 11)</f>
        <v>11</v>
      </c>
      <c r="CR43" s="2">
        <f>HYPERLINK("http://exon.niaid.nih.gov/transcriptome/C_felis/S2/links/cluster/cf-pep25-50-Sim-CLTL11.txt", 2)</f>
        <v>2</v>
      </c>
      <c r="CS43" s="7">
        <v>24</v>
      </c>
      <c r="CT43" s="2">
        <v>1</v>
      </c>
      <c r="CU43" s="7">
        <v>29</v>
      </c>
      <c r="CV43" s="2">
        <v>1</v>
      </c>
      <c r="CW43" s="7">
        <v>28</v>
      </c>
      <c r="CX43" s="2">
        <v>1</v>
      </c>
      <c r="CY43" s="7">
        <v>29</v>
      </c>
      <c r="CZ43" s="2">
        <v>1</v>
      </c>
      <c r="DA43" s="7">
        <v>29</v>
      </c>
      <c r="DB43" s="2">
        <v>1</v>
      </c>
      <c r="DC43" s="7">
        <v>28</v>
      </c>
      <c r="DD43" s="2">
        <v>1</v>
      </c>
      <c r="DE43" s="7">
        <v>27</v>
      </c>
      <c r="DF43" s="2">
        <v>1</v>
      </c>
      <c r="DG43" s="7">
        <v>27</v>
      </c>
      <c r="DH43" s="2">
        <v>1</v>
      </c>
      <c r="DI43" s="7">
        <v>28</v>
      </c>
      <c r="DJ43" s="2">
        <v>1</v>
      </c>
      <c r="DK43" s="7">
        <v>28</v>
      </c>
      <c r="DL43" s="2">
        <v>1</v>
      </c>
      <c r="DM43" s="7">
        <v>27</v>
      </c>
      <c r="DN43" s="2">
        <v>1</v>
      </c>
      <c r="DO43" s="7">
        <v>25</v>
      </c>
      <c r="DP43" s="2">
        <v>1</v>
      </c>
      <c r="DQ43" s="7">
        <v>25</v>
      </c>
      <c r="DR43" s="2">
        <v>1</v>
      </c>
      <c r="DS43" s="7">
        <v>23</v>
      </c>
      <c r="DT43" s="2">
        <v>1</v>
      </c>
    </row>
    <row r="44" spans="1:124" x14ac:dyDescent="0.2">
      <c r="A44" t="str">
        <f>HYPERLINK("http://exon.niaid.nih.gov/transcriptome/C_felis/S2/links/pep/Cf-186-pep.txt","Cf-186")</f>
        <v>Cf-186</v>
      </c>
      <c r="B44" s="2">
        <v>4</v>
      </c>
      <c r="C44">
        <v>123</v>
      </c>
      <c r="D44" t="str">
        <f>HYPERLINK("http://exon.niaid.nih.gov/transcriptome/C_felis/S2/links/cds/Cf-186-cds.txt","Cf-186")</f>
        <v>Cf-186</v>
      </c>
      <c r="E44">
        <v>372</v>
      </c>
      <c r="F44" t="s">
        <v>485</v>
      </c>
      <c r="G44">
        <v>0</v>
      </c>
      <c r="I44" s="2" t="s">
        <v>9</v>
      </c>
      <c r="J44" s="2" t="s">
        <v>3</v>
      </c>
      <c r="K44" s="20" t="str">
        <f>HYPERLINK("http://exon.niaid.nih.gov/transcriptome/C_felis/S2/links/Sigp/Cf-186-SigP.txt","CYT")</f>
        <v>CYT</v>
      </c>
      <c r="L44" s="2" t="s">
        <v>7</v>
      </c>
      <c r="M44" s="2">
        <v>14.439</v>
      </c>
      <c r="N44" s="2">
        <v>10.84</v>
      </c>
      <c r="O44" s="2" t="s">
        <v>7</v>
      </c>
      <c r="P44" s="2" t="s">
        <v>7</v>
      </c>
      <c r="Q44" s="24" t="s">
        <v>556</v>
      </c>
      <c r="R44" s="20">
        <v>0</v>
      </c>
      <c r="S44" s="2" t="s">
        <v>7</v>
      </c>
      <c r="T44" s="2" t="s">
        <v>7</v>
      </c>
      <c r="U44" s="2" t="s">
        <v>7</v>
      </c>
      <c r="V44" s="2" t="s">
        <v>7</v>
      </c>
      <c r="W44" s="2" t="s">
        <v>7</v>
      </c>
      <c r="X44" s="20" t="str">
        <f>HYPERLINK("http://exon.niaid.nih.gov/transcriptome/C_felis/S2/links/netoglyc/CF-186-netoglyc.txt","0")</f>
        <v>0</v>
      </c>
      <c r="Y44" s="2">
        <v>11.4</v>
      </c>
      <c r="Z44" s="2">
        <v>2.4</v>
      </c>
      <c r="AA44" s="2">
        <v>3.3</v>
      </c>
      <c r="AB44" t="s">
        <v>437</v>
      </c>
      <c r="AC44" t="s">
        <v>438</v>
      </c>
      <c r="AD44" t="s">
        <v>485</v>
      </c>
      <c r="AE44" s="2">
        <v>4</v>
      </c>
      <c r="AF44" s="4" t="str">
        <f>HYPERLINK("http://exon.niaid.nih.gov/transcriptome/C_felis/S2/links/NR/Cf-186-NR.txt","ribosomal protein L35")</f>
        <v>ribosomal protein L35</v>
      </c>
      <c r="AG44" t="str">
        <f>HYPERLINK("http://www.ncbi.nlm.nih.gov/sutils/blink.cgi?pid=121512030","3E-061")</f>
        <v>3E-061</v>
      </c>
      <c r="AH44" t="str">
        <f>HYPERLINK("http://www.ncbi.nlm.nih.gov/protein/121512030","gi|121512030")</f>
        <v>gi|121512030</v>
      </c>
      <c r="AI44">
        <v>238</v>
      </c>
      <c r="AJ44">
        <v>122</v>
      </c>
      <c r="AK44">
        <v>123</v>
      </c>
      <c r="AL44">
        <v>100</v>
      </c>
      <c r="AM44">
        <v>100</v>
      </c>
      <c r="AN44" t="s">
        <v>63</v>
      </c>
      <c r="AO44" s="4" t="str">
        <f>HYPERLINK("http://exon.niaid.nih.gov/transcriptome/C_felis/S2/links/SWISSP/Cf-186-SWISSP.txt","60S ribosomal protein L35")</f>
        <v>60S ribosomal protein L35</v>
      </c>
      <c r="AP44" t="str">
        <f>HYPERLINK("http://www.uniprot.org/uniprot/Q69CJ9","5E-043")</f>
        <v>5E-043</v>
      </c>
      <c r="AQ44" t="s">
        <v>245</v>
      </c>
      <c r="AR44">
        <v>172</v>
      </c>
      <c r="AS44">
        <v>122</v>
      </c>
      <c r="AT44">
        <v>123</v>
      </c>
      <c r="AU44">
        <v>71</v>
      </c>
      <c r="AV44">
        <v>100</v>
      </c>
      <c r="AW44" t="s">
        <v>246</v>
      </c>
      <c r="AX44" s="4" t="s">
        <v>247</v>
      </c>
      <c r="AY44">
        <f>HYPERLINK("http://exon.niaid.nih.gov/transcriptome/C_felis/S2/links/GO/Cf-186-GO.txt",2E-48)</f>
        <v>1.9999999999999999E-48</v>
      </c>
      <c r="AZ44" t="str">
        <f>HYPERLINK("http://amigo.geneontology.org/cgi-bin/amigo/term_details?term=GO:0003735","GO:0003735")</f>
        <v>GO:0003735</v>
      </c>
      <c r="BA44" t="s">
        <v>53</v>
      </c>
      <c r="BB44" t="s">
        <v>54</v>
      </c>
      <c r="BC44" t="s">
        <v>55</v>
      </c>
      <c r="BD44" t="s">
        <v>7</v>
      </c>
      <c r="BF44" s="5">
        <v>1.9999999999999999E-48</v>
      </c>
      <c r="BG44" t="str">
        <f>HYPERLINK("http://amigo.geneontology.org/cgi-bin/amigo/term_details?term=GO:0022625","GO:0022625")</f>
        <v>GO:0022625</v>
      </c>
      <c r="BH44" t="s">
        <v>56</v>
      </c>
      <c r="BI44" t="s">
        <v>57</v>
      </c>
      <c r="BJ44" t="s">
        <v>58</v>
      </c>
      <c r="BK44" t="s">
        <v>7</v>
      </c>
      <c r="BM44" s="5">
        <v>1.9999999999999999E-48</v>
      </c>
      <c r="BN44" t="str">
        <f>HYPERLINK("http://amigo.geneontology.org/cgi-bin/amigo/term_details?term=GO:0006412","GO:0006412")</f>
        <v>GO:0006412</v>
      </c>
      <c r="BO44" t="s">
        <v>59</v>
      </c>
      <c r="BP44" t="s">
        <v>60</v>
      </c>
      <c r="BQ44" t="s">
        <v>61</v>
      </c>
      <c r="BR44" t="s">
        <v>7</v>
      </c>
      <c r="BT44" s="5">
        <v>1.9999999999999999E-48</v>
      </c>
      <c r="BU44" s="4" t="str">
        <f>HYPERLINK("http://exon.niaid.nih.gov/transcriptome/C_felis/S2/links/KOG/Cf-186-KOG.txt","60S ribosomal protein L35")</f>
        <v>60S ribosomal protein L35</v>
      </c>
      <c r="BV44" t="str">
        <f>HYPERLINK("http://www.ncbi.nlm.nih.gov/COG/grace/shokog.cgi?KOG3436","6E-020")</f>
        <v>6E-020</v>
      </c>
      <c r="BW44" t="s">
        <v>62</v>
      </c>
      <c r="BX44" t="str">
        <f>HYPERLINK("http://exon.niaid.nih.gov/transcriptome/C_felis/S2/links/KOG/Cf-186-KOG.txt","KOG3436")</f>
        <v>KOG3436</v>
      </c>
      <c r="BY44" s="4" t="str">
        <f>HYPERLINK("http://exon.niaid.nih.gov/transcriptome/C_felis/S2/links/CDD/Cf-186-CDD.txt","Ribosomal_L29")</f>
        <v>Ribosomal_L29</v>
      </c>
      <c r="BZ44" t="str">
        <f>HYPERLINK("http://www.ncbi.nlm.nih.gov/Structure/cdd/cddsrv.cgi?uid=pfam00831&amp;version=v4.0","3E-007")</f>
        <v>3E-007</v>
      </c>
      <c r="CA44" t="s">
        <v>248</v>
      </c>
      <c r="CB44" s="4" t="str">
        <f>HYPERLINK("http://exon.niaid.nih.gov/transcriptome/C_felis/S2/links/PFAM/Cf-186-PFAM.txt","Ribosomal_L29")</f>
        <v>Ribosomal_L29</v>
      </c>
      <c r="CC44" t="str">
        <f>HYPERLINK("http://pfam.sanger.ac.uk/family?acc=PF00831","7E-008")</f>
        <v>7E-008</v>
      </c>
      <c r="CD44" s="4" t="str">
        <f>HYPERLINK("http://exon.niaid.nih.gov/transcriptome/C_felis/S2/links/SMART/Cf-186-SMART.txt","EAL")</f>
        <v>EAL</v>
      </c>
      <c r="CE44" t="str">
        <f>HYPERLINK("http://smart.embl-heidelberg.de/smart/do_annotation.pl?DOMAIN=EAL&amp;BLAST=DUMMY","0.31")</f>
        <v>0.31</v>
      </c>
      <c r="CF44" s="4" t="s">
        <v>7</v>
      </c>
      <c r="CG44" t="s">
        <v>7</v>
      </c>
      <c r="CH44" t="s">
        <v>7</v>
      </c>
      <c r="CI44" t="s">
        <v>7</v>
      </c>
      <c r="CJ44" t="s">
        <v>7</v>
      </c>
      <c r="CK44" s="7">
        <v>42</v>
      </c>
      <c r="CL44" s="2">
        <v>1</v>
      </c>
      <c r="CM44" s="7">
        <v>42</v>
      </c>
      <c r="CN44" s="2">
        <v>1</v>
      </c>
      <c r="CO44" s="7">
        <v>42</v>
      </c>
      <c r="CP44" s="2">
        <v>1</v>
      </c>
      <c r="CQ44" s="7">
        <f>HYPERLINK("http://exon.niaid.nih.gov/transcriptome/C_felis/S2/links/cluster/cf-pep25-50-Sim-CLU3.txt", 3)</f>
        <v>3</v>
      </c>
      <c r="CR44" s="2">
        <f>HYPERLINK("http://exon.niaid.nih.gov/transcriptome/C_felis/S2/links/cluster/cf-pep25-50-Sim-CLTL3.txt", 10)</f>
        <v>10</v>
      </c>
      <c r="CS44" s="7">
        <f>HYPERLINK("http://exon.niaid.nih.gov/transcriptome/C_felis/S2/links/cluster/cf-pep30-50-Sim-CLU4.txt", 4)</f>
        <v>4</v>
      </c>
      <c r="CT44" s="2">
        <f>HYPERLINK("http://exon.niaid.nih.gov/transcriptome/C_felis/S2/links/cluster/cf-pep30-50-Sim-CLTL4.txt", 6)</f>
        <v>6</v>
      </c>
      <c r="CU44" s="7">
        <v>43</v>
      </c>
      <c r="CV44" s="2">
        <v>1</v>
      </c>
      <c r="CW44" s="7">
        <v>42</v>
      </c>
      <c r="CX44" s="2">
        <v>1</v>
      </c>
      <c r="CY44" s="7">
        <v>44</v>
      </c>
      <c r="CZ44" s="2">
        <v>1</v>
      </c>
      <c r="DA44" s="7">
        <v>45</v>
      </c>
      <c r="DB44" s="2">
        <v>1</v>
      </c>
      <c r="DC44" s="7">
        <v>46</v>
      </c>
      <c r="DD44" s="2">
        <v>1</v>
      </c>
      <c r="DE44" s="7">
        <v>45</v>
      </c>
      <c r="DF44" s="2">
        <v>1</v>
      </c>
      <c r="DG44" s="7">
        <v>45</v>
      </c>
      <c r="DH44" s="2">
        <v>1</v>
      </c>
      <c r="DI44" s="7">
        <v>46</v>
      </c>
      <c r="DJ44" s="2">
        <v>1</v>
      </c>
      <c r="DK44" s="7">
        <v>46</v>
      </c>
      <c r="DL44" s="2">
        <v>1</v>
      </c>
      <c r="DM44" s="7">
        <v>48</v>
      </c>
      <c r="DN44" s="2">
        <v>1</v>
      </c>
      <c r="DO44" s="7">
        <v>47</v>
      </c>
      <c r="DP44" s="2">
        <v>1</v>
      </c>
      <c r="DQ44" s="7">
        <v>47</v>
      </c>
      <c r="DR44" s="2">
        <v>1</v>
      </c>
      <c r="DS44" s="7">
        <v>47</v>
      </c>
      <c r="DT44" s="2">
        <v>1</v>
      </c>
    </row>
    <row r="45" spans="1:124" x14ac:dyDescent="0.2">
      <c r="A45" t="str">
        <f>HYPERLINK("http://exon.niaid.nih.gov/transcriptome/C_felis/S2/links/pep/Cf-195-pep.txt","Cf-195")</f>
        <v>Cf-195</v>
      </c>
      <c r="B45" s="2">
        <v>4</v>
      </c>
      <c r="C45">
        <v>113</v>
      </c>
      <c r="D45" t="str">
        <f>HYPERLINK("http://exon.niaid.nih.gov/transcriptome/C_felis/S2/links/cds/Cf-195-cds.txt","Cf-195")</f>
        <v>Cf-195</v>
      </c>
      <c r="E45">
        <v>342</v>
      </c>
      <c r="F45" t="s">
        <v>489</v>
      </c>
      <c r="G45">
        <v>0</v>
      </c>
      <c r="I45" s="2" t="s">
        <v>8</v>
      </c>
      <c r="J45" s="2" t="s">
        <v>3</v>
      </c>
      <c r="K45" s="20" t="str">
        <f>HYPERLINK("http://exon.niaid.nih.gov/transcriptome/C_felis/S2/links/Sigp/Cf-195-SigP.txt","CYT")</f>
        <v>CYT</v>
      </c>
      <c r="L45" s="2" t="s">
        <v>7</v>
      </c>
      <c r="M45" s="2">
        <v>13.22</v>
      </c>
      <c r="N45" s="2">
        <v>5.0999999999999996</v>
      </c>
      <c r="O45" s="2" t="s">
        <v>7</v>
      </c>
      <c r="P45" s="2" t="s">
        <v>7</v>
      </c>
      <c r="Q45" s="24" t="s">
        <v>556</v>
      </c>
      <c r="R45" s="20">
        <v>0</v>
      </c>
      <c r="S45" s="2" t="s">
        <v>7</v>
      </c>
      <c r="T45" s="2" t="s">
        <v>7</v>
      </c>
      <c r="U45" s="2" t="s">
        <v>7</v>
      </c>
      <c r="V45" s="2" t="s">
        <v>7</v>
      </c>
      <c r="W45" s="2" t="s">
        <v>7</v>
      </c>
      <c r="X45" s="20" t="str">
        <f>HYPERLINK("http://exon.niaid.nih.gov/transcriptome/C_felis/S2/links/netoglyc/CF-195-netoglyc.txt","1")</f>
        <v>1</v>
      </c>
      <c r="Y45" s="2">
        <v>11.5</v>
      </c>
      <c r="Z45" s="2">
        <v>4.4000000000000004</v>
      </c>
      <c r="AA45" s="2">
        <v>1.8</v>
      </c>
      <c r="AB45" t="s">
        <v>437</v>
      </c>
      <c r="AC45" t="s">
        <v>438</v>
      </c>
      <c r="AD45" t="s">
        <v>489</v>
      </c>
      <c r="AE45" s="2">
        <v>4</v>
      </c>
      <c r="AF45" s="4" t="str">
        <f>HYPERLINK("http://exon.niaid.nih.gov/transcriptome/C_felis/S2/links/NR/Cf-195-NR.txt","translationally controlled tumor protein")</f>
        <v>translationally controlled tumor protein</v>
      </c>
      <c r="AG45" t="str">
        <f>HYPERLINK("http://www.ncbi.nlm.nih.gov/sutils/blink.cgi?pid=121511968","9E-056")</f>
        <v>9E-056</v>
      </c>
      <c r="AH45" t="str">
        <f>HYPERLINK("http://www.ncbi.nlm.nih.gov/protein/121511968","gi|121511968")</f>
        <v>gi|121511968</v>
      </c>
      <c r="AI45">
        <v>219</v>
      </c>
      <c r="AJ45">
        <v>111</v>
      </c>
      <c r="AK45">
        <v>172</v>
      </c>
      <c r="AL45">
        <v>95</v>
      </c>
      <c r="AM45">
        <v>65</v>
      </c>
      <c r="AN45" t="s">
        <v>63</v>
      </c>
      <c r="AO45" s="4" t="str">
        <f>HYPERLINK("http://exon.niaid.nih.gov/transcriptome/C_felis/S2/links/SWISSP/Cf-195-SWISSP.txt","Translationally-controlled tumor protein homolog")</f>
        <v>Translationally-controlled tumor protein homolog</v>
      </c>
      <c r="AP45" t="str">
        <f>HYPERLINK("http://www.uniprot.org/uniprot/Q75VN3","1E-051")</f>
        <v>1E-051</v>
      </c>
      <c r="AQ45" t="s">
        <v>256</v>
      </c>
      <c r="AR45">
        <v>201</v>
      </c>
      <c r="AS45">
        <v>112</v>
      </c>
      <c r="AT45">
        <v>172</v>
      </c>
      <c r="AU45">
        <v>83</v>
      </c>
      <c r="AV45">
        <v>66</v>
      </c>
      <c r="AW45" t="s">
        <v>84</v>
      </c>
      <c r="AX45" s="4" t="s">
        <v>257</v>
      </c>
      <c r="AY45">
        <f>HYPERLINK("http://exon.niaid.nih.gov/transcriptome/C_felis/S2/links/GO/Cf-195-GO.txt",3E-50)</f>
        <v>2.9999999999999999E-50</v>
      </c>
      <c r="AZ45" t="str">
        <f>HYPERLINK("http://amigo.geneontology.org/cgi-bin/amigo/term_details?term=GO:0005085","GO:0005085")</f>
        <v>GO:0005085</v>
      </c>
      <c r="BA45" t="s">
        <v>258</v>
      </c>
      <c r="BB45" t="s">
        <v>259</v>
      </c>
      <c r="BC45" t="s">
        <v>260</v>
      </c>
      <c r="BD45" t="s">
        <v>7</v>
      </c>
      <c r="BF45" s="5">
        <v>4E-50</v>
      </c>
      <c r="BG45" t="str">
        <f>HYPERLINK("http://amigo.geneontology.org/cgi-bin/amigo/term_details?term=GO:0005737","GO:0005737")</f>
        <v>GO:0005737</v>
      </c>
      <c r="BH45" t="s">
        <v>69</v>
      </c>
      <c r="BI45" t="s">
        <v>70</v>
      </c>
      <c r="BJ45" t="s">
        <v>7</v>
      </c>
      <c r="BK45" t="s">
        <v>7</v>
      </c>
      <c r="BM45" s="5">
        <v>4E-50</v>
      </c>
      <c r="BN45" t="str">
        <f>HYPERLINK("http://amigo.geneontology.org/cgi-bin/amigo/term_details?term=GO:0045793","GO:0045793")</f>
        <v>GO:0045793</v>
      </c>
      <c r="BO45" t="s">
        <v>261</v>
      </c>
      <c r="BP45" t="s">
        <v>262</v>
      </c>
      <c r="BQ45" t="s">
        <v>263</v>
      </c>
      <c r="BR45" t="s">
        <v>7</v>
      </c>
      <c r="BT45" s="5">
        <v>4E-50</v>
      </c>
      <c r="BU45" s="4" t="str">
        <f>HYPERLINK("http://exon.niaid.nih.gov/transcriptome/C_felis/S2/links/KOG/Cf-195-KOG.txt","Microtubule-binding protein (translationally controlled tumor protein)")</f>
        <v>Microtubule-binding protein (translationally controlled tumor protein)</v>
      </c>
      <c r="BV45" t="str">
        <f>HYPERLINK("http://www.ncbi.nlm.nih.gov/COG/grace/shokog.cgi?KOG1727","2E-024")</f>
        <v>2E-024</v>
      </c>
      <c r="BW45" t="s">
        <v>264</v>
      </c>
      <c r="BX45" t="str">
        <f>HYPERLINK("http://exon.niaid.nih.gov/transcriptome/C_felis/S2/links/KOG/Cf-195-KOG.txt","KOG1727")</f>
        <v>KOG1727</v>
      </c>
      <c r="BY45" s="4" t="str">
        <f>HYPERLINK("http://exon.niaid.nih.gov/transcriptome/C_felis/S2/links/CDD/Cf-195-CDD.txt","TCTP")</f>
        <v>TCTP</v>
      </c>
      <c r="BZ45" t="str">
        <f>HYPERLINK("http://www.ncbi.nlm.nih.gov/Structure/cdd/cddsrv.cgi?uid=pfam00838&amp;version=v4.0","4E-029")</f>
        <v>4E-029</v>
      </c>
      <c r="CA45" t="s">
        <v>265</v>
      </c>
      <c r="CB45" s="4" t="str">
        <f>HYPERLINK("http://exon.niaid.nih.gov/transcriptome/C_felis/S2/links/PFAM/Cf-195-PFAM.txt","TCTP")</f>
        <v>TCTP</v>
      </c>
      <c r="CC45" t="str">
        <f>HYPERLINK("http://pfam.sanger.ac.uk/family?acc=PF00838","8E-030")</f>
        <v>8E-030</v>
      </c>
      <c r="CD45" s="4" t="str">
        <f>HYPERLINK("http://exon.niaid.nih.gov/transcriptome/C_felis/S2/links/SMART/Cf-195-SMART.txt","PKS_ER")</f>
        <v>PKS_ER</v>
      </c>
      <c r="CE45" t="str">
        <f>HYPERLINK("http://smart.embl-heidelberg.de/smart/do_annotation.pl?DOMAIN=PKS_ER&amp;BLAST=DUMMY","0.18")</f>
        <v>0.18</v>
      </c>
      <c r="CF45" s="4" t="s">
        <v>7</v>
      </c>
      <c r="CG45" t="s">
        <v>7</v>
      </c>
      <c r="CH45" t="s">
        <v>7</v>
      </c>
      <c r="CI45" t="s">
        <v>7</v>
      </c>
      <c r="CJ45" t="s">
        <v>7</v>
      </c>
      <c r="CK45" s="7">
        <v>47</v>
      </c>
      <c r="CL45" s="2">
        <v>1</v>
      </c>
      <c r="CM45" s="7">
        <v>47</v>
      </c>
      <c r="CN45" s="2">
        <v>1</v>
      </c>
      <c r="CO45" s="7">
        <v>47</v>
      </c>
      <c r="CP45" s="2">
        <v>1</v>
      </c>
      <c r="CQ45" s="7">
        <f>HYPERLINK("http://exon.niaid.nih.gov/transcriptome/C_felis/S2/links/cluster/cf-pep25-50-Sim-CLU13.txt", 13)</f>
        <v>13</v>
      </c>
      <c r="CR45" s="2">
        <f>HYPERLINK("http://exon.niaid.nih.gov/transcriptome/C_felis/S2/links/cluster/cf-pep25-50-Sim-CLTL13.txt", 2)</f>
        <v>2</v>
      </c>
      <c r="CS45" s="7">
        <v>39</v>
      </c>
      <c r="CT45" s="2">
        <v>1</v>
      </c>
      <c r="CU45" s="7">
        <v>46</v>
      </c>
      <c r="CV45" s="2">
        <v>1</v>
      </c>
      <c r="CW45" s="7">
        <v>45</v>
      </c>
      <c r="CX45" s="2">
        <v>1</v>
      </c>
      <c r="CY45" s="7">
        <v>48</v>
      </c>
      <c r="CZ45" s="2">
        <v>1</v>
      </c>
      <c r="DA45" s="7">
        <v>50</v>
      </c>
      <c r="DB45" s="2">
        <v>1</v>
      </c>
      <c r="DC45" s="7">
        <v>51</v>
      </c>
      <c r="DD45" s="2">
        <v>1</v>
      </c>
      <c r="DE45" s="7">
        <v>50</v>
      </c>
      <c r="DF45" s="2">
        <v>1</v>
      </c>
      <c r="DG45" s="7">
        <v>50</v>
      </c>
      <c r="DH45" s="2">
        <v>1</v>
      </c>
      <c r="DI45" s="7">
        <v>51</v>
      </c>
      <c r="DJ45" s="2">
        <v>1</v>
      </c>
      <c r="DK45" s="7">
        <v>51</v>
      </c>
      <c r="DL45" s="2">
        <v>1</v>
      </c>
      <c r="DM45" s="7">
        <v>53</v>
      </c>
      <c r="DN45" s="2">
        <v>1</v>
      </c>
      <c r="DO45" s="7">
        <v>52</v>
      </c>
      <c r="DP45" s="2">
        <v>1</v>
      </c>
      <c r="DQ45" s="7">
        <v>52</v>
      </c>
      <c r="DR45" s="2">
        <v>1</v>
      </c>
      <c r="DS45" s="7">
        <v>53</v>
      </c>
      <c r="DT45" s="2">
        <v>1</v>
      </c>
    </row>
    <row r="46" spans="1:124" x14ac:dyDescent="0.2">
      <c r="A46" t="str">
        <f>HYPERLINK("http://exon.niaid.nih.gov/transcriptome/C_felis/S2/links/pep/Cf-178-pep.txt","Cf-178")</f>
        <v>Cf-178</v>
      </c>
      <c r="B46" s="2">
        <v>3</v>
      </c>
      <c r="C46">
        <v>79</v>
      </c>
      <c r="D46" t="str">
        <f>HYPERLINK("http://exon.niaid.nih.gov/transcriptome/C_felis/S2/links/cds/Cf-178-cds.txt","Cf-178")</f>
        <v>Cf-178</v>
      </c>
      <c r="E46">
        <v>240</v>
      </c>
      <c r="F46" t="s">
        <v>481</v>
      </c>
      <c r="G46">
        <v>0</v>
      </c>
      <c r="I46" s="2" t="s">
        <v>10</v>
      </c>
      <c r="J46" s="2" t="s">
        <v>3</v>
      </c>
      <c r="K46" s="20" t="str">
        <f>HYPERLINK("http://exon.niaid.nih.gov/transcriptome/C_felis/S2/links/Sigp/Cf-178-SigP.txt","CYT")</f>
        <v>CYT</v>
      </c>
      <c r="L46" s="2" t="s">
        <v>7</v>
      </c>
      <c r="M46" s="2">
        <v>9.157</v>
      </c>
      <c r="N46" s="2">
        <v>10.050000000000001</v>
      </c>
      <c r="O46" s="2" t="s">
        <v>7</v>
      </c>
      <c r="P46" s="2" t="s">
        <v>7</v>
      </c>
      <c r="Q46" s="24" t="s">
        <v>556</v>
      </c>
      <c r="R46" s="20">
        <v>0</v>
      </c>
      <c r="S46" s="2" t="s">
        <v>7</v>
      </c>
      <c r="T46" s="2" t="s">
        <v>7</v>
      </c>
      <c r="U46" s="2" t="s">
        <v>7</v>
      </c>
      <c r="V46" s="2" t="s">
        <v>7</v>
      </c>
      <c r="W46" s="2" t="s">
        <v>7</v>
      </c>
      <c r="X46" s="20" t="str">
        <f>HYPERLINK("http://exon.niaid.nih.gov/transcriptome/C_felis/S2/links/netoglyc/CF-178-netoglyc.txt","1")</f>
        <v>1</v>
      </c>
      <c r="Y46" s="2">
        <v>10.1</v>
      </c>
      <c r="Z46" s="2">
        <v>2.5</v>
      </c>
      <c r="AA46" s="2">
        <v>5.0999999999999996</v>
      </c>
      <c r="AB46" t="s">
        <v>437</v>
      </c>
      <c r="AC46" t="s">
        <v>438</v>
      </c>
      <c r="AD46" t="s">
        <v>481</v>
      </c>
      <c r="AE46" s="2">
        <v>3</v>
      </c>
      <c r="AF46" s="4" t="str">
        <f>HYPERLINK("http://exon.niaid.nih.gov/transcriptome/C_felis/S2/links/NR/Cf-178-NR.txt","ribosomal protein S13")</f>
        <v>ribosomal protein S13</v>
      </c>
      <c r="AG46" t="str">
        <f>HYPERLINK("http://www.ncbi.nlm.nih.gov/sutils/blink.cgi?pid=121511938","4E-035")</f>
        <v>4E-035</v>
      </c>
      <c r="AH46" t="str">
        <f>HYPERLINK("http://www.ncbi.nlm.nih.gov/protein/121511938","gi|121511938")</f>
        <v>gi|121511938</v>
      </c>
      <c r="AI46">
        <v>151</v>
      </c>
      <c r="AJ46">
        <v>76</v>
      </c>
      <c r="AK46">
        <v>151</v>
      </c>
      <c r="AL46">
        <v>97</v>
      </c>
      <c r="AM46">
        <v>51</v>
      </c>
      <c r="AN46" t="s">
        <v>63</v>
      </c>
      <c r="AO46" s="4" t="str">
        <f>HYPERLINK("http://exon.niaid.nih.gov/transcriptome/C_felis/S2/links/SWISSP/Cf-178-SWISSP.txt","40S ribosomal protein S13")</f>
        <v>40S ribosomal protein S13</v>
      </c>
      <c r="AP46" t="str">
        <f>HYPERLINK("http://www.uniprot.org/uniprot/Q962R6","1E-035")</f>
        <v>1E-035</v>
      </c>
      <c r="AQ46" t="s">
        <v>233</v>
      </c>
      <c r="AR46">
        <v>147</v>
      </c>
      <c r="AS46">
        <v>76</v>
      </c>
      <c r="AT46">
        <v>151</v>
      </c>
      <c r="AU46">
        <v>93</v>
      </c>
      <c r="AV46">
        <v>51</v>
      </c>
      <c r="AW46" t="s">
        <v>68</v>
      </c>
      <c r="AX46" s="4" t="s">
        <v>234</v>
      </c>
      <c r="AY46">
        <f>HYPERLINK("http://exon.niaid.nih.gov/transcriptome/C_felis/S2/links/GO/Cf-178-GO.txt",3E-33)</f>
        <v>3.0000000000000002E-33</v>
      </c>
      <c r="AZ46" t="str">
        <f t="shared" ref="AZ46:AZ58" si="26">HYPERLINK("http://amigo.geneontology.org/cgi-bin/amigo/term_details?term=GO:0003735","GO:0003735")</f>
        <v>GO:0003735</v>
      </c>
      <c r="BA46" t="s">
        <v>53</v>
      </c>
      <c r="BB46" t="s">
        <v>54</v>
      </c>
      <c r="BC46" t="s">
        <v>55</v>
      </c>
      <c r="BD46" t="s">
        <v>7</v>
      </c>
      <c r="BF46" s="5">
        <v>3.0000000000000002E-33</v>
      </c>
      <c r="BG46" t="str">
        <f>HYPERLINK("http://amigo.geneontology.org/cgi-bin/amigo/term_details?term=GO:0005840","GO:0005840")</f>
        <v>GO:0005840</v>
      </c>
      <c r="BH46" t="s">
        <v>94</v>
      </c>
      <c r="BI46" t="s">
        <v>95</v>
      </c>
      <c r="BJ46" t="s">
        <v>96</v>
      </c>
      <c r="BK46" t="s">
        <v>7</v>
      </c>
      <c r="BM46" s="5">
        <v>3.0000000000000002E-33</v>
      </c>
      <c r="BN46" t="str">
        <f t="shared" ref="BN46:BN55" si="27">HYPERLINK("http://amigo.geneontology.org/cgi-bin/amigo/term_details?term=GO:0006412","GO:0006412")</f>
        <v>GO:0006412</v>
      </c>
      <c r="BO46" t="s">
        <v>59</v>
      </c>
      <c r="BP46" t="s">
        <v>60</v>
      </c>
      <c r="BQ46" t="s">
        <v>61</v>
      </c>
      <c r="BR46" t="s">
        <v>7</v>
      </c>
      <c r="BT46" s="5">
        <v>3.0000000000000002E-33</v>
      </c>
      <c r="BU46" s="4" t="str">
        <f>HYPERLINK("http://exon.niaid.nih.gov/transcriptome/C_felis/S2/links/KOG/Cf-178-KOG.txt","40S ribosomal protein S13")</f>
        <v>40S ribosomal protein S13</v>
      </c>
      <c r="BV46" t="str">
        <f>HYPERLINK("http://www.ncbi.nlm.nih.gov/COG/grace/shokog.cgi?KOG0400","5E-032")</f>
        <v>5E-032</v>
      </c>
      <c r="BW46" t="s">
        <v>62</v>
      </c>
      <c r="BX46" t="str">
        <f>HYPERLINK("http://exon.niaid.nih.gov/transcriptome/C_felis/S2/links/KOG/Cf-178-KOG.txt","KOG0400")</f>
        <v>KOG0400</v>
      </c>
      <c r="BY46" s="4" t="str">
        <f>HYPERLINK("http://exon.niaid.nih.gov/transcriptome/C_felis/S2/links/CDD/Cf-178-CDD.txt","PTZ00072")</f>
        <v>PTZ00072</v>
      </c>
      <c r="BZ46" t="str">
        <f>HYPERLINK("http://www.ncbi.nlm.nih.gov/Structure/cdd/cddsrv.cgi?uid=PTZ00072&amp;version=v4.0","2E-035")</f>
        <v>2E-035</v>
      </c>
      <c r="CA46" t="s">
        <v>235</v>
      </c>
      <c r="CB46" s="4" t="str">
        <f>HYPERLINK("http://exon.niaid.nih.gov/transcriptome/C_felis/S2/links/PFAM/Cf-178-PFAM.txt","Ribosomal_S15")</f>
        <v>Ribosomal_S15</v>
      </c>
      <c r="CC46" t="str">
        <f>HYPERLINK("http://pfam.sanger.ac.uk/family?acc=PF00312","2E-014")</f>
        <v>2E-014</v>
      </c>
      <c r="CD46" s="4" t="str">
        <f>HYPERLINK("http://exon.niaid.nih.gov/transcriptome/C_felis/S2/links/SMART/Cf-178-SMART.txt","G_alpha")</f>
        <v>G_alpha</v>
      </c>
      <c r="CE46" t="str">
        <f>HYPERLINK("http://smart.embl-heidelberg.de/smart/do_annotation.pl?DOMAIN=G_alpha&amp;BLAST=DUMMY","0.96")</f>
        <v>0.96</v>
      </c>
      <c r="CF46" s="4" t="s">
        <v>7</v>
      </c>
      <c r="CG46" t="s">
        <v>7</v>
      </c>
      <c r="CH46" t="s">
        <v>7</v>
      </c>
      <c r="CI46" t="s">
        <v>7</v>
      </c>
      <c r="CJ46" t="s">
        <v>7</v>
      </c>
      <c r="CK46" s="7">
        <v>40</v>
      </c>
      <c r="CL46" s="2">
        <v>1</v>
      </c>
      <c r="CM46" s="7">
        <v>40</v>
      </c>
      <c r="CN46" s="2">
        <v>1</v>
      </c>
      <c r="CO46" s="7">
        <v>40</v>
      </c>
      <c r="CP46" s="2">
        <v>1</v>
      </c>
      <c r="CQ46" s="7">
        <f>HYPERLINK("http://exon.niaid.nih.gov/transcriptome/C_felis/S2/links/cluster/cf-pep25-50-Sim-CLU2.txt", 2)</f>
        <v>2</v>
      </c>
      <c r="CR46" s="2">
        <f>HYPERLINK("http://exon.niaid.nih.gov/transcriptome/C_felis/S2/links/cluster/cf-pep25-50-Sim-CLTL2.txt", 34)</f>
        <v>34</v>
      </c>
      <c r="CS46" s="7">
        <v>35</v>
      </c>
      <c r="CT46" s="2">
        <v>1</v>
      </c>
      <c r="CU46" s="7">
        <v>41</v>
      </c>
      <c r="CV46" s="2">
        <v>1</v>
      </c>
      <c r="CW46" s="7">
        <v>40</v>
      </c>
      <c r="CX46" s="2">
        <v>1</v>
      </c>
      <c r="CY46" s="7">
        <v>42</v>
      </c>
      <c r="CZ46" s="2">
        <v>1</v>
      </c>
      <c r="DA46" s="7">
        <v>43</v>
      </c>
      <c r="DB46" s="2">
        <v>1</v>
      </c>
      <c r="DC46" s="7">
        <v>42</v>
      </c>
      <c r="DD46" s="2">
        <v>1</v>
      </c>
      <c r="DE46" s="7">
        <v>41</v>
      </c>
      <c r="DF46" s="2">
        <v>1</v>
      </c>
      <c r="DG46" s="7">
        <v>41</v>
      </c>
      <c r="DH46" s="2">
        <v>1</v>
      </c>
      <c r="DI46" s="7">
        <v>42</v>
      </c>
      <c r="DJ46" s="2">
        <v>1</v>
      </c>
      <c r="DK46" s="7">
        <v>42</v>
      </c>
      <c r="DL46" s="2">
        <v>1</v>
      </c>
      <c r="DM46" s="7">
        <v>44</v>
      </c>
      <c r="DN46" s="2">
        <v>1</v>
      </c>
      <c r="DO46" s="7">
        <v>43</v>
      </c>
      <c r="DP46" s="2">
        <v>1</v>
      </c>
      <c r="DQ46" s="7">
        <v>43</v>
      </c>
      <c r="DR46" s="2">
        <v>1</v>
      </c>
      <c r="DS46" s="7">
        <v>43</v>
      </c>
      <c r="DT46" s="2">
        <v>1</v>
      </c>
    </row>
    <row r="47" spans="1:124" x14ac:dyDescent="0.2">
      <c r="A47" t="str">
        <f>HYPERLINK("http://exon.niaid.nih.gov/transcriptome/C_felis/S2/links/pep/Cf-170-pep.txt","Cf-170")</f>
        <v>Cf-170</v>
      </c>
      <c r="B47" s="2">
        <v>3</v>
      </c>
      <c r="C47">
        <v>170</v>
      </c>
      <c r="D47" t="str">
        <f>HYPERLINK("http://exon.niaid.nih.gov/transcriptome/C_felis/S2/links/cds/Cf-170-cds.txt","Cf-170")</f>
        <v>Cf-170</v>
      </c>
      <c r="E47">
        <v>513</v>
      </c>
      <c r="F47" t="s">
        <v>479</v>
      </c>
      <c r="G47">
        <v>0</v>
      </c>
      <c r="I47" s="2" t="s">
        <v>10</v>
      </c>
      <c r="J47" s="2" t="s">
        <v>3</v>
      </c>
      <c r="K47" s="20" t="str">
        <f>HYPERLINK("http://exon.niaid.nih.gov/transcriptome/C_felis/S2/links/Sigp/Cf-170-SigP.txt","CYT")</f>
        <v>CYT</v>
      </c>
      <c r="L47" s="2" t="s">
        <v>7</v>
      </c>
      <c r="M47" s="2">
        <v>19.786000000000001</v>
      </c>
      <c r="N47" s="2">
        <v>10.09</v>
      </c>
      <c r="O47" s="2" t="s">
        <v>7</v>
      </c>
      <c r="P47" s="2" t="s">
        <v>7</v>
      </c>
      <c r="Q47" s="24" t="s">
        <v>556</v>
      </c>
      <c r="R47" s="20">
        <v>0</v>
      </c>
      <c r="S47" s="2" t="s">
        <v>7</v>
      </c>
      <c r="T47" s="2" t="s">
        <v>7</v>
      </c>
      <c r="U47" s="2" t="s">
        <v>7</v>
      </c>
      <c r="V47" s="2" t="s">
        <v>7</v>
      </c>
      <c r="W47" s="2" t="s">
        <v>7</v>
      </c>
      <c r="X47" s="20" t="str">
        <f>HYPERLINK("http://exon.niaid.nih.gov/transcriptome/C_felis/S2/links/netoglyc/CF-170-netoglyc.txt","1")</f>
        <v>1</v>
      </c>
      <c r="Y47" s="2">
        <v>12.9</v>
      </c>
      <c r="Z47" s="2">
        <v>3.5</v>
      </c>
      <c r="AA47" s="2">
        <v>4.7</v>
      </c>
      <c r="AB47" t="s">
        <v>437</v>
      </c>
      <c r="AC47" t="s">
        <v>438</v>
      </c>
      <c r="AD47" t="s">
        <v>479</v>
      </c>
      <c r="AE47" s="2">
        <v>3</v>
      </c>
      <c r="AF47" s="4" t="str">
        <f>HYPERLINK("http://exon.niaid.nih.gov/transcriptome/C_felis/S2/links/NR/Cf-170-NR.txt","ribosomal protein S7")</f>
        <v>ribosomal protein S7</v>
      </c>
      <c r="AG47" t="str">
        <f>HYPERLINK("http://www.ncbi.nlm.nih.gov/sutils/blink.cgi?pid=121512008","2E-087")</f>
        <v>2E-087</v>
      </c>
      <c r="AH47" t="str">
        <f>HYPERLINK("http://www.ncbi.nlm.nih.gov/protein/121512008","gi|121512008")</f>
        <v>gi|121512008</v>
      </c>
      <c r="AI47">
        <v>325</v>
      </c>
      <c r="AJ47">
        <v>167</v>
      </c>
      <c r="AK47">
        <v>191</v>
      </c>
      <c r="AL47">
        <v>98</v>
      </c>
      <c r="AM47">
        <v>88</v>
      </c>
      <c r="AN47" t="s">
        <v>63</v>
      </c>
      <c r="AO47" s="4" t="str">
        <f>HYPERLINK("http://exon.niaid.nih.gov/transcriptome/C_felis/S2/links/SWISSP/Cf-170-SWISSP.txt","40S ribosomal protein S7")</f>
        <v>40S ribosomal protein S7</v>
      </c>
      <c r="AP47" t="str">
        <f>HYPERLINK("http://www.uniprot.org/uniprot/P48155","4E-080")</f>
        <v>4E-080</v>
      </c>
      <c r="AQ47" t="s">
        <v>224</v>
      </c>
      <c r="AR47">
        <v>296</v>
      </c>
      <c r="AS47">
        <v>167</v>
      </c>
      <c r="AT47">
        <v>190</v>
      </c>
      <c r="AU47">
        <v>88</v>
      </c>
      <c r="AV47">
        <v>88</v>
      </c>
      <c r="AW47" t="s">
        <v>51</v>
      </c>
      <c r="AX47" s="4" t="s">
        <v>225</v>
      </c>
      <c r="AY47">
        <f>HYPERLINK("http://exon.niaid.nih.gov/transcriptome/C_felis/S2/links/GO/Cf-170-GO.txt",2E-78)</f>
        <v>2E-78</v>
      </c>
      <c r="AZ47" t="str">
        <f t="shared" si="26"/>
        <v>GO:0003735</v>
      </c>
      <c r="BA47" t="s">
        <v>53</v>
      </c>
      <c r="BB47" t="s">
        <v>54</v>
      </c>
      <c r="BC47" t="s">
        <v>55</v>
      </c>
      <c r="BD47" t="s">
        <v>7</v>
      </c>
      <c r="BF47" s="5">
        <v>3.9999999999999998E-74</v>
      </c>
      <c r="BG47" t="str">
        <f>HYPERLINK("http://amigo.geneontology.org/cgi-bin/amigo/term_details?term=GO:0022627","GO:0022627")</f>
        <v>GO:0022627</v>
      </c>
      <c r="BH47" t="s">
        <v>79</v>
      </c>
      <c r="BI47" t="s">
        <v>80</v>
      </c>
      <c r="BJ47" t="s">
        <v>81</v>
      </c>
      <c r="BK47" t="s">
        <v>7</v>
      </c>
      <c r="BM47" s="5">
        <v>3.9999999999999998E-74</v>
      </c>
      <c r="BN47" t="str">
        <f t="shared" si="27"/>
        <v>GO:0006412</v>
      </c>
      <c r="BO47" t="s">
        <v>59</v>
      </c>
      <c r="BP47" t="s">
        <v>60</v>
      </c>
      <c r="BQ47" t="s">
        <v>61</v>
      </c>
      <c r="BR47" t="s">
        <v>7</v>
      </c>
      <c r="BT47" s="5">
        <v>3.9999999999999998E-74</v>
      </c>
      <c r="BU47" s="4" t="str">
        <f>HYPERLINK("http://exon.niaid.nih.gov/transcriptome/C_felis/S2/links/KOG/Cf-170-KOG.txt","40S ribosomal protein S7")</f>
        <v>40S ribosomal protein S7</v>
      </c>
      <c r="BV47" t="str">
        <f>HYPERLINK("http://www.ncbi.nlm.nih.gov/COG/grace/shokog.cgi?KOG3320","9E-062")</f>
        <v>9E-062</v>
      </c>
      <c r="BW47" t="s">
        <v>62</v>
      </c>
      <c r="BX47" t="str">
        <f>HYPERLINK("http://exon.niaid.nih.gov/transcriptome/C_felis/S2/links/KOG/Cf-170-KOG.txt","KOG3320")</f>
        <v>KOG3320</v>
      </c>
      <c r="BY47" s="4" t="str">
        <f>HYPERLINK("http://exon.niaid.nih.gov/transcriptome/C_felis/S2/links/CDD/Cf-170-CDD.txt","Ribosomal_S7e")</f>
        <v>Ribosomal_S7e</v>
      </c>
      <c r="BZ47" t="str">
        <f>HYPERLINK("http://www.ncbi.nlm.nih.gov/Structure/cdd/cddsrv.cgi?uid=pfam01251&amp;version=v4.0","2E-073")</f>
        <v>2E-073</v>
      </c>
      <c r="CA47" t="s">
        <v>226</v>
      </c>
      <c r="CB47" s="4" t="str">
        <f>HYPERLINK("http://exon.niaid.nih.gov/transcriptome/C_felis/S2/links/PFAM/Cf-170-PFAM.txt","Ribosomal_S7e")</f>
        <v>Ribosomal_S7e</v>
      </c>
      <c r="CC47" t="str">
        <f>HYPERLINK("http://pfam.sanger.ac.uk/family?acc=PF01251","4E-074")</f>
        <v>4E-074</v>
      </c>
      <c r="CD47" s="4" t="str">
        <f>HYPERLINK("http://exon.niaid.nih.gov/transcriptome/C_felis/S2/links/SMART/Cf-170-SMART.txt","RNAse_Pc")</f>
        <v>RNAse_Pc</v>
      </c>
      <c r="CE47" t="str">
        <f>HYPERLINK("http://smart.embl-heidelberg.de/smart/do_annotation.pl?DOMAIN=RNAse_Pc&amp;BLAST=DUMMY","0.061")</f>
        <v>0.061</v>
      </c>
      <c r="CF47" s="4" t="s">
        <v>7</v>
      </c>
      <c r="CG47" t="s">
        <v>7</v>
      </c>
      <c r="CH47" t="s">
        <v>7</v>
      </c>
      <c r="CI47" t="s">
        <v>7</v>
      </c>
      <c r="CJ47" t="s">
        <v>7</v>
      </c>
      <c r="CK47" s="7">
        <f>HYPERLINK("http://exon.niaid.nih.gov/transcriptome/C_felis/S2/links/cluster/cf-pep95-2-Id-CLU7.txt", 7)</f>
        <v>7</v>
      </c>
      <c r="CL47" s="2">
        <f>HYPERLINK("http://exon.niaid.nih.gov/transcriptome/C_felis/S2/links/cluster/cf-pep95-2-Id-CLTL7.txt", 3)</f>
        <v>3</v>
      </c>
      <c r="CM47" s="7">
        <f>HYPERLINK("http://exon.niaid.nih.gov/transcriptome/C_felis/S2/links/cluster/cf-pep100-3-Id-CLU7.txt", 7)</f>
        <v>7</v>
      </c>
      <c r="CN47" s="2">
        <f>HYPERLINK("http://exon.niaid.nih.gov/transcriptome/C_felis/S2/links/cluster/cf-pep100-3-Id-CLTL7.txt", 3)</f>
        <v>3</v>
      </c>
      <c r="CO47" s="7">
        <f>HYPERLINK("http://exon.niaid.nih.gov/transcriptome/C_felis/S2/links/cluster/cf-pep100-4-Id-CLU7.txt", 7)</f>
        <v>7</v>
      </c>
      <c r="CP47" s="2">
        <f>HYPERLINK("http://exon.niaid.nih.gov/transcriptome/C_felis/S2/links/cluster/cf-pep100-4-Id-CLTL7.txt", 3)</f>
        <v>3</v>
      </c>
      <c r="CQ47" s="7">
        <f>HYPERLINK("http://exon.niaid.nih.gov/transcriptome/C_felis/S2/links/cluster/cf-pep25-50-Sim-CLU7.txt", 7)</f>
        <v>7</v>
      </c>
      <c r="CR47" s="2">
        <f>HYPERLINK("http://exon.niaid.nih.gov/transcriptome/C_felis/S2/links/cluster/cf-pep25-50-Sim-CLTL7.txt", 3)</f>
        <v>3</v>
      </c>
      <c r="CS47" s="7">
        <f>HYPERLINK("http://exon.niaid.nih.gov/transcriptome/C_felis/S2/links/cluster/cf-pep30-50-Sim-CLU8.txt", 8)</f>
        <v>8</v>
      </c>
      <c r="CT47" s="2">
        <f>HYPERLINK("http://exon.niaid.nih.gov/transcriptome/C_felis/S2/links/cluster/cf-pep30-50-Sim-CLTL8.txt", 3)</f>
        <v>3</v>
      </c>
      <c r="CU47" s="7">
        <f>HYPERLINK("http://exon.niaid.nih.gov/transcriptome/C_felis/S2/links/cluster/cf-pep35-50-Sim-CLU8.txt", 8)</f>
        <v>8</v>
      </c>
      <c r="CV47" s="2">
        <f>HYPERLINK("http://exon.niaid.nih.gov/transcriptome/C_felis/S2/links/cluster/cf-pep35-50-Sim-CLTL8.txt", 3)</f>
        <v>3</v>
      </c>
      <c r="CW47" s="7">
        <f>HYPERLINK("http://exon.niaid.nih.gov/transcriptome/C_felis/S2/links/cluster/cf-pep40-50-Sim-CLU7.txt", 7)</f>
        <v>7</v>
      </c>
      <c r="CX47" s="2">
        <f>HYPERLINK("http://exon.niaid.nih.gov/transcriptome/C_felis/S2/links/cluster/cf-pep40-50-Sim-CLTL7.txt", 3)</f>
        <v>3</v>
      </c>
      <c r="CY47" s="7">
        <f>HYPERLINK("http://exon.niaid.nih.gov/transcriptome/C_felis/S2/links/cluster/cf-pep45-50-Sim-CLU7.txt", 7)</f>
        <v>7</v>
      </c>
      <c r="CZ47" s="2">
        <f>HYPERLINK("http://exon.niaid.nih.gov/transcriptome/C_felis/S2/links/cluster/cf-pep45-50-Sim-CLTL7.txt", 3)</f>
        <v>3</v>
      </c>
      <c r="DA47" s="7">
        <f>HYPERLINK("http://exon.niaid.nih.gov/transcriptome/C_felis/S2/links/cluster/cf-pep50-50-Sim-CLU7.txt", 7)</f>
        <v>7</v>
      </c>
      <c r="DB47" s="2">
        <f>HYPERLINK("http://exon.niaid.nih.gov/transcriptome/C_felis/S2/links/cluster/cf-pep50-50-Sim-CLTL7.txt", 3)</f>
        <v>3</v>
      </c>
      <c r="DC47" s="7">
        <f>HYPERLINK("http://exon.niaid.nih.gov/transcriptome/C_felis/S2/links/cluster/cf-pep55-50-Sim-CLU7.txt", 7)</f>
        <v>7</v>
      </c>
      <c r="DD47" s="2">
        <f>HYPERLINK("http://exon.niaid.nih.gov/transcriptome/C_felis/S2/links/cluster/cf-pep55-50-Sim-CLTL7.txt", 3)</f>
        <v>3</v>
      </c>
      <c r="DE47" s="7">
        <f>HYPERLINK("http://exon.niaid.nih.gov/transcriptome/C_felis/S2/links/cluster/cf-pep60-50-Sim-CLU5.txt", 5)</f>
        <v>5</v>
      </c>
      <c r="DF47" s="2">
        <f>HYPERLINK("http://exon.niaid.nih.gov/transcriptome/C_felis/S2/links/cluster/cf-pep60-50-Sim-CLTL5.txt", 3)</f>
        <v>3</v>
      </c>
      <c r="DG47" s="7">
        <f>HYPERLINK("http://exon.niaid.nih.gov/transcriptome/C_felis/S2/links/cluster/cf-pep65-50-Sim-CLU5.txt", 5)</f>
        <v>5</v>
      </c>
      <c r="DH47" s="2">
        <f>HYPERLINK("http://exon.niaid.nih.gov/transcriptome/C_felis/S2/links/cluster/cf-pep65-50-Sim-CLTL5.txt", 3)</f>
        <v>3</v>
      </c>
      <c r="DI47" s="7">
        <f>HYPERLINK("http://exon.niaid.nih.gov/transcriptome/C_felis/S2/links/cluster/cf-pep70-50-Sim-CLU6.txt", 6)</f>
        <v>6</v>
      </c>
      <c r="DJ47" s="2">
        <f>HYPERLINK("http://exon.niaid.nih.gov/transcriptome/C_felis/S2/links/cluster/cf-pep70-50-Sim-CLTL6.txt", 3)</f>
        <v>3</v>
      </c>
      <c r="DK47" s="7">
        <f>HYPERLINK("http://exon.niaid.nih.gov/transcriptome/C_felis/S2/links/cluster/cf-pep75-50-Sim-CLU6.txt", 6)</f>
        <v>6</v>
      </c>
      <c r="DL47" s="2">
        <f>HYPERLINK("http://exon.niaid.nih.gov/transcriptome/C_felis/S2/links/cluster/cf-pep75-50-Sim-CLTL6.txt", 3)</f>
        <v>3</v>
      </c>
      <c r="DM47" s="7">
        <f>HYPERLINK("http://exon.niaid.nih.gov/transcriptome/C_felis/S2/links/cluster/cf-pep80-50-Sim-CLU5.txt", 5)</f>
        <v>5</v>
      </c>
      <c r="DN47" s="2">
        <f>HYPERLINK("http://exon.niaid.nih.gov/transcriptome/C_felis/S2/links/cluster/cf-pep80-50-Sim-CLTL5.txt", 3)</f>
        <v>3</v>
      </c>
      <c r="DO47" s="7">
        <f>HYPERLINK("http://exon.niaid.nih.gov/transcriptome/C_felis/S2/links/cluster/cf-pep85-50-Sim-CLU4.txt", 4)</f>
        <v>4</v>
      </c>
      <c r="DP47" s="2">
        <f>HYPERLINK("http://exon.niaid.nih.gov/transcriptome/C_felis/S2/links/cluster/cf-pep85-50-Sim-CLTL4.txt", 3)</f>
        <v>3</v>
      </c>
      <c r="DQ47" s="7">
        <f>HYPERLINK("http://exon.niaid.nih.gov/transcriptome/C_felis/S2/links/cluster/cf-pep90-50-Sim-CLU3.txt", 3)</f>
        <v>3</v>
      </c>
      <c r="DR47" s="2">
        <f>HYPERLINK("http://exon.niaid.nih.gov/transcriptome/C_felis/S2/links/cluster/cf-pep90-50-Sim-CLTL3.txt", 3)</f>
        <v>3</v>
      </c>
      <c r="DS47" s="7">
        <f>HYPERLINK("http://exon.niaid.nih.gov/transcriptome/C_felis/S2/links/cluster/cf-pep95-50-Sim-CLU5.txt", 5)</f>
        <v>5</v>
      </c>
      <c r="DT47" s="2">
        <f>HYPERLINK("http://exon.niaid.nih.gov/transcriptome/C_felis/S2/links/cluster/cf-pep95-50-Sim-CLTL5.txt", 2)</f>
        <v>2</v>
      </c>
    </row>
    <row r="48" spans="1:124" x14ac:dyDescent="0.2">
      <c r="A48" t="str">
        <f>HYPERLINK("http://exon.niaid.nih.gov/transcriptome/C_felis/S2/links/pep/Cf-239-pep.txt","Cf-239")</f>
        <v>Cf-239</v>
      </c>
      <c r="B48" s="2">
        <v>3</v>
      </c>
      <c r="C48">
        <v>220</v>
      </c>
      <c r="D48" t="str">
        <f>HYPERLINK("http://exon.niaid.nih.gov/transcriptome/C_felis/S2/links/cds/Cf-239-cds.txt","Cf-239")</f>
        <v>Cf-239</v>
      </c>
      <c r="E48">
        <v>663</v>
      </c>
      <c r="F48" t="s">
        <v>496</v>
      </c>
      <c r="G48">
        <v>0</v>
      </c>
      <c r="I48" s="2" t="s">
        <v>9</v>
      </c>
      <c r="J48" s="2" t="s">
        <v>3</v>
      </c>
      <c r="K48" s="20" t="str">
        <f>HYPERLINK("http://exon.niaid.nih.gov/transcriptome/C_felis/S2/links/Sigp/Cf-239-SigP.txt","CYT")</f>
        <v>CYT</v>
      </c>
      <c r="L48" s="2" t="s">
        <v>7</v>
      </c>
      <c r="M48" s="2">
        <v>25.100999999999999</v>
      </c>
      <c r="N48" s="2">
        <v>11.04</v>
      </c>
      <c r="O48" s="2" t="s">
        <v>7</v>
      </c>
      <c r="P48" s="2" t="s">
        <v>7</v>
      </c>
      <c r="Q48" s="24" t="s">
        <v>548</v>
      </c>
      <c r="R48" s="20">
        <v>0</v>
      </c>
      <c r="S48" s="2" t="s">
        <v>7</v>
      </c>
      <c r="T48" s="2" t="s">
        <v>7</v>
      </c>
      <c r="U48" s="2" t="s">
        <v>7</v>
      </c>
      <c r="V48" s="2" t="s">
        <v>7</v>
      </c>
      <c r="W48" s="2" t="s">
        <v>7</v>
      </c>
      <c r="X48" s="20" t="str">
        <f>HYPERLINK("http://exon.niaid.nih.gov/transcriptome/C_felis/S2/links/netoglyc/CF-239-netoglyc.txt","0")</f>
        <v>0</v>
      </c>
      <c r="Y48" s="2">
        <v>8.1999999999999993</v>
      </c>
      <c r="Z48" s="2">
        <v>7.7</v>
      </c>
      <c r="AA48" s="2">
        <v>4.5</v>
      </c>
      <c r="AB48" t="s">
        <v>437</v>
      </c>
      <c r="AC48" t="s">
        <v>438</v>
      </c>
      <c r="AD48" t="s">
        <v>496</v>
      </c>
      <c r="AE48" s="2">
        <v>3</v>
      </c>
      <c r="AF48" s="4" t="str">
        <f>HYPERLINK("http://exon.niaid.nih.gov/transcriptome/C_felis/S2/links/NR/Cf-239-NR.txt","ribosomal protein L13")</f>
        <v>ribosomal protein L13</v>
      </c>
      <c r="AG48" t="str">
        <f>HYPERLINK("http://www.ncbi.nlm.nih.gov/sutils/blink.cgi?pid=121511988","1E-108")</f>
        <v>1E-108</v>
      </c>
      <c r="AH48" t="str">
        <f>HYPERLINK("http://www.ncbi.nlm.nih.gov/protein/121511988","gi|121511988")</f>
        <v>gi|121511988</v>
      </c>
      <c r="AI48">
        <v>396</v>
      </c>
      <c r="AJ48">
        <v>220</v>
      </c>
      <c r="AK48">
        <v>221</v>
      </c>
      <c r="AL48">
        <v>88</v>
      </c>
      <c r="AM48">
        <v>100</v>
      </c>
      <c r="AN48" t="s">
        <v>63</v>
      </c>
      <c r="AO48" s="4" t="str">
        <f>HYPERLINK("http://exon.niaid.nih.gov/transcriptome/C_felis/S2/links/SWISSP/Cf-239-SWISSP.txt","60S ribosomal protein L13")</f>
        <v>60S ribosomal protein L13</v>
      </c>
      <c r="AP48" t="str">
        <f>HYPERLINK("http://www.uniprot.org/uniprot/Q962U1","2E-088")</f>
        <v>2E-088</v>
      </c>
      <c r="AQ48" t="s">
        <v>298</v>
      </c>
      <c r="AR48">
        <v>324</v>
      </c>
      <c r="AS48">
        <v>217</v>
      </c>
      <c r="AT48">
        <v>219</v>
      </c>
      <c r="AU48">
        <v>73</v>
      </c>
      <c r="AV48">
        <v>100</v>
      </c>
      <c r="AW48" t="s">
        <v>68</v>
      </c>
      <c r="AX48" s="4" t="s">
        <v>299</v>
      </c>
      <c r="AY48">
        <f>HYPERLINK("http://exon.niaid.nih.gov/transcriptome/C_felis/S2/links/GO/Cf-239-GO.txt",7E-81)</f>
        <v>6.9999999999999997E-81</v>
      </c>
      <c r="AZ48" t="str">
        <f t="shared" si="26"/>
        <v>GO:0003735</v>
      </c>
      <c r="BA48" t="s">
        <v>53</v>
      </c>
      <c r="BB48" t="s">
        <v>54</v>
      </c>
      <c r="BC48" t="s">
        <v>55</v>
      </c>
      <c r="BD48" t="s">
        <v>7</v>
      </c>
      <c r="BF48" s="5">
        <v>6.9999999999999997E-81</v>
      </c>
      <c r="BG48" t="str">
        <f>HYPERLINK("http://amigo.geneontology.org/cgi-bin/amigo/term_details?term=GO:0022625","GO:0022625")</f>
        <v>GO:0022625</v>
      </c>
      <c r="BH48" t="s">
        <v>56</v>
      </c>
      <c r="BI48" t="s">
        <v>57</v>
      </c>
      <c r="BJ48" t="s">
        <v>58</v>
      </c>
      <c r="BK48" t="s">
        <v>7</v>
      </c>
      <c r="BM48" s="5">
        <v>6.9999999999999997E-81</v>
      </c>
      <c r="BN48" t="str">
        <f t="shared" si="27"/>
        <v>GO:0006412</v>
      </c>
      <c r="BO48" t="s">
        <v>59</v>
      </c>
      <c r="BP48" t="s">
        <v>60</v>
      </c>
      <c r="BQ48" t="s">
        <v>61</v>
      </c>
      <c r="BR48" t="s">
        <v>7</v>
      </c>
      <c r="BT48" s="5">
        <v>6.9999999999999997E-81</v>
      </c>
      <c r="BU48" s="4" t="str">
        <f>HYPERLINK("http://exon.niaid.nih.gov/transcriptome/C_felis/S2/links/KOG/Cf-239-KOG.txt","60S Ribosomal protein L13")</f>
        <v>60S Ribosomal protein L13</v>
      </c>
      <c r="BV48" t="str">
        <f>HYPERLINK("http://www.ncbi.nlm.nih.gov/COG/grace/shokog.cgi?KOG3295","6E-065")</f>
        <v>6E-065</v>
      </c>
      <c r="BW48" t="s">
        <v>62</v>
      </c>
      <c r="BX48" t="str">
        <f>HYPERLINK("http://exon.niaid.nih.gov/transcriptome/C_felis/S2/links/KOG/Cf-239-KOG.txt","KOG3295")</f>
        <v>KOG3295</v>
      </c>
      <c r="BY48" s="4" t="str">
        <f>HYPERLINK("http://exon.niaid.nih.gov/transcriptome/C_felis/S2/links/CDD/Cf-239-CDD.txt","Ribosomal_L13e")</f>
        <v>Ribosomal_L13e</v>
      </c>
      <c r="BZ48" t="str">
        <f>HYPERLINK("http://www.ncbi.nlm.nih.gov/Structure/cdd/cddsrv.cgi?uid=pfam01294&amp;version=v4.0","3E-069")</f>
        <v>3E-069</v>
      </c>
      <c r="CA48" t="s">
        <v>300</v>
      </c>
      <c r="CB48" s="4" t="str">
        <f>HYPERLINK("http://exon.niaid.nih.gov/transcriptome/C_felis/S2/links/PFAM/Cf-239-PFAM.txt","Ribosomal_L13e")</f>
        <v>Ribosomal_L13e</v>
      </c>
      <c r="CC48" t="str">
        <f>HYPERLINK("http://pfam.sanger.ac.uk/family?acc=PF01294","7E-070")</f>
        <v>7E-070</v>
      </c>
      <c r="CD48" s="4" t="str">
        <f>HYPERLINK("http://exon.niaid.nih.gov/transcriptome/C_felis/S2/links/SMART/Cf-239-SMART.txt","AP2Ec")</f>
        <v>AP2Ec</v>
      </c>
      <c r="CE48" t="str">
        <f>HYPERLINK("http://smart.embl-heidelberg.de/smart/do_annotation.pl?DOMAIN=AP2Ec&amp;BLAST=DUMMY","0.50")</f>
        <v>0.50</v>
      </c>
      <c r="CF48" s="4" t="s">
        <v>7</v>
      </c>
      <c r="CG48" t="s">
        <v>7</v>
      </c>
      <c r="CH48" t="s">
        <v>7</v>
      </c>
      <c r="CI48" t="s">
        <v>7</v>
      </c>
      <c r="CJ48" t="s">
        <v>7</v>
      </c>
      <c r="CK48" s="7">
        <v>61</v>
      </c>
      <c r="CL48" s="2">
        <v>1</v>
      </c>
      <c r="CM48" s="7">
        <v>61</v>
      </c>
      <c r="CN48" s="2">
        <v>1</v>
      </c>
      <c r="CO48" s="7">
        <v>61</v>
      </c>
      <c r="CP48" s="2">
        <v>1</v>
      </c>
      <c r="CQ48" s="7">
        <f>HYPERLINK("http://exon.niaid.nih.gov/transcriptome/C_felis/S2/links/cluster/cf-pep25-50-Sim-CLU16.txt", 16)</f>
        <v>16</v>
      </c>
      <c r="CR48" s="2">
        <f>HYPERLINK("http://exon.niaid.nih.gov/transcriptome/C_felis/S2/links/cluster/cf-pep25-50-Sim-CLTL16.txt", 2)</f>
        <v>2</v>
      </c>
      <c r="CS48" s="7">
        <v>53</v>
      </c>
      <c r="CT48" s="2">
        <v>1</v>
      </c>
      <c r="CU48" s="7">
        <v>60</v>
      </c>
      <c r="CV48" s="2">
        <v>1</v>
      </c>
      <c r="CW48" s="7">
        <v>59</v>
      </c>
      <c r="CX48" s="2">
        <v>1</v>
      </c>
      <c r="CY48" s="7">
        <v>62</v>
      </c>
      <c r="CZ48" s="2">
        <v>1</v>
      </c>
      <c r="DA48" s="7">
        <v>64</v>
      </c>
      <c r="DB48" s="2">
        <v>1</v>
      </c>
      <c r="DC48" s="7">
        <v>65</v>
      </c>
      <c r="DD48" s="2">
        <v>1</v>
      </c>
      <c r="DE48" s="7">
        <v>64</v>
      </c>
      <c r="DF48" s="2">
        <v>1</v>
      </c>
      <c r="DG48" s="7">
        <v>64</v>
      </c>
      <c r="DH48" s="2">
        <v>1</v>
      </c>
      <c r="DI48" s="7">
        <v>65</v>
      </c>
      <c r="DJ48" s="2">
        <v>1</v>
      </c>
      <c r="DK48" s="7">
        <v>65</v>
      </c>
      <c r="DL48" s="2">
        <v>1</v>
      </c>
      <c r="DM48" s="7">
        <v>67</v>
      </c>
      <c r="DN48" s="2">
        <v>1</v>
      </c>
      <c r="DO48" s="7">
        <v>68</v>
      </c>
      <c r="DP48" s="2">
        <v>1</v>
      </c>
      <c r="DQ48" s="7">
        <v>68</v>
      </c>
      <c r="DR48" s="2">
        <v>1</v>
      </c>
      <c r="DS48" s="7">
        <v>69</v>
      </c>
      <c r="DT48" s="2">
        <v>1</v>
      </c>
    </row>
    <row r="49" spans="1:124" x14ac:dyDescent="0.2">
      <c r="A49" t="str">
        <f>HYPERLINK("http://exon.niaid.nih.gov/transcriptome/C_felis/S2/links/pep/Cf-240-pep.txt","Cf-240")</f>
        <v>Cf-240</v>
      </c>
      <c r="B49" s="2">
        <v>3</v>
      </c>
      <c r="C49">
        <v>93</v>
      </c>
      <c r="D49" t="str">
        <f>HYPERLINK("http://exon.niaid.nih.gov/transcriptome/C_felis/S2/links/cds/Cf-240-cds.txt","Cf-240")</f>
        <v>Cf-240</v>
      </c>
      <c r="E49">
        <v>282</v>
      </c>
      <c r="F49" t="s">
        <v>497</v>
      </c>
      <c r="G49">
        <v>0</v>
      </c>
      <c r="I49" s="2" t="s">
        <v>9</v>
      </c>
      <c r="J49" s="2" t="s">
        <v>3</v>
      </c>
      <c r="K49" s="20" t="str">
        <f>HYPERLINK("http://exon.niaid.nih.gov/transcriptome/C_felis/S2/links/Sigp/Cf-240-SigP.txt","CYT")</f>
        <v>CYT</v>
      </c>
      <c r="L49" s="2" t="s">
        <v>7</v>
      </c>
      <c r="M49" s="2">
        <v>10.8</v>
      </c>
      <c r="N49" s="2">
        <v>11.85</v>
      </c>
      <c r="O49" s="2" t="s">
        <v>7</v>
      </c>
      <c r="P49" s="2" t="s">
        <v>7</v>
      </c>
      <c r="Q49" s="24" t="s">
        <v>556</v>
      </c>
      <c r="R49" s="20">
        <v>0</v>
      </c>
      <c r="S49" s="2" t="s">
        <v>7</v>
      </c>
      <c r="T49" s="2" t="s">
        <v>7</v>
      </c>
      <c r="U49" s="2" t="s">
        <v>7</v>
      </c>
      <c r="V49" s="2" t="s">
        <v>7</v>
      </c>
      <c r="W49" s="2" t="s">
        <v>7</v>
      </c>
      <c r="X49" s="20" t="str">
        <f>HYPERLINK("http://exon.niaid.nih.gov/transcriptome/C_felis/S2/links/netoglyc/CF-240-netoglyc.txt","3")</f>
        <v>3</v>
      </c>
      <c r="Y49" s="2">
        <v>19.399999999999999</v>
      </c>
      <c r="Z49" s="2">
        <v>9.6999999999999993</v>
      </c>
      <c r="AA49" s="2">
        <v>4.3</v>
      </c>
      <c r="AB49" t="s">
        <v>437</v>
      </c>
      <c r="AC49" t="s">
        <v>438</v>
      </c>
      <c r="AD49" t="s">
        <v>497</v>
      </c>
      <c r="AE49" s="2">
        <v>3</v>
      </c>
      <c r="AF49" s="4" t="str">
        <f>HYPERLINK("http://exon.niaid.nih.gov/transcriptome/C_felis/S2/links/NR/Cf-240-NR.txt","ribosomal protein L37")</f>
        <v>ribosomal protein L37</v>
      </c>
      <c r="AG49" t="str">
        <f>HYPERLINK("http://www.ncbi.nlm.nih.gov/sutils/blink.cgi?pid=121511940","1E-045")</f>
        <v>1E-045</v>
      </c>
      <c r="AH49" t="str">
        <f>HYPERLINK("http://www.ncbi.nlm.nih.gov/protein/121511940","gi|121511940")</f>
        <v>gi|121511940</v>
      </c>
      <c r="AI49">
        <v>186</v>
      </c>
      <c r="AJ49">
        <v>91</v>
      </c>
      <c r="AK49">
        <v>92</v>
      </c>
      <c r="AL49">
        <v>92</v>
      </c>
      <c r="AM49">
        <v>100</v>
      </c>
      <c r="AN49" t="s">
        <v>63</v>
      </c>
      <c r="AO49" s="4" t="str">
        <f>HYPERLINK("http://exon.niaid.nih.gov/transcriptome/C_felis/S2/links/SWISSP/Cf-240-SWISSP.txt","60S ribosomal protein L37")</f>
        <v>60S ribosomal protein L37</v>
      </c>
      <c r="AP49" t="str">
        <f>HYPERLINK("http://www.uniprot.org/uniprot/Q962S7","5E-043")</f>
        <v>5E-043</v>
      </c>
      <c r="AQ49" t="s">
        <v>301</v>
      </c>
      <c r="AR49">
        <v>172</v>
      </c>
      <c r="AS49">
        <v>91</v>
      </c>
      <c r="AT49">
        <v>92</v>
      </c>
      <c r="AU49">
        <v>86</v>
      </c>
      <c r="AV49">
        <v>100</v>
      </c>
      <c r="AW49" t="s">
        <v>68</v>
      </c>
      <c r="AX49" s="4" t="s">
        <v>302</v>
      </c>
      <c r="AY49">
        <f>HYPERLINK("http://exon.niaid.nih.gov/transcriptome/C_felis/S2/links/GO/Cf-240-GO.txt",3E-42)</f>
        <v>3.0000000000000003E-42</v>
      </c>
      <c r="AZ49" t="str">
        <f t="shared" si="26"/>
        <v>GO:0003735</v>
      </c>
      <c r="BA49" t="s">
        <v>53</v>
      </c>
      <c r="BB49" t="s">
        <v>54</v>
      </c>
      <c r="BC49" t="s">
        <v>55</v>
      </c>
      <c r="BD49" t="s">
        <v>7</v>
      </c>
      <c r="BF49" s="5">
        <v>3.0000000000000003E-42</v>
      </c>
      <c r="BG49" t="str">
        <f>HYPERLINK("http://amigo.geneontology.org/cgi-bin/amigo/term_details?term=GO:0022625","GO:0022625")</f>
        <v>GO:0022625</v>
      </c>
      <c r="BH49" t="s">
        <v>56</v>
      </c>
      <c r="BI49" t="s">
        <v>57</v>
      </c>
      <c r="BJ49" t="s">
        <v>58</v>
      </c>
      <c r="BK49" t="s">
        <v>7</v>
      </c>
      <c r="BM49" s="5">
        <v>3.0000000000000003E-42</v>
      </c>
      <c r="BN49" t="str">
        <f t="shared" si="27"/>
        <v>GO:0006412</v>
      </c>
      <c r="BO49" t="s">
        <v>59</v>
      </c>
      <c r="BP49" t="s">
        <v>60</v>
      </c>
      <c r="BQ49" t="s">
        <v>61</v>
      </c>
      <c r="BR49" t="s">
        <v>7</v>
      </c>
      <c r="BT49" s="5">
        <v>3.0000000000000003E-42</v>
      </c>
      <c r="BU49" s="4" t="str">
        <f>HYPERLINK("http://exon.niaid.nih.gov/transcriptome/C_felis/S2/links/KOG/Cf-240-KOG.txt","60S ribosomal protein L37")</f>
        <v>60S ribosomal protein L37</v>
      </c>
      <c r="BV49" t="str">
        <f>HYPERLINK("http://www.ncbi.nlm.nih.gov/COG/grace/shokog.cgi?KOG3475","3E-026")</f>
        <v>3E-026</v>
      </c>
      <c r="BW49" t="s">
        <v>62</v>
      </c>
      <c r="BX49" t="str">
        <f>HYPERLINK("http://exon.niaid.nih.gov/transcriptome/C_felis/S2/links/KOG/Cf-240-KOG.txt","KOG3475")</f>
        <v>KOG3475</v>
      </c>
      <c r="BY49" s="4" t="str">
        <f>HYPERLINK("http://exon.niaid.nih.gov/transcriptome/C_felis/S2/links/CDD/Cf-240-CDD.txt","PTZ00073")</f>
        <v>PTZ00073</v>
      </c>
      <c r="BZ49" t="str">
        <f>HYPERLINK("http://www.ncbi.nlm.nih.gov/Structure/cdd/cddsrv.cgi?uid=PTZ00073&amp;version=v4.0","7E-028")</f>
        <v>7E-028</v>
      </c>
      <c r="CA49" t="s">
        <v>303</v>
      </c>
      <c r="CB49" s="4" t="str">
        <f>HYPERLINK("http://exon.niaid.nih.gov/transcriptome/C_felis/S2/links/PFAM/Cf-240-PFAM.txt","Ribosomal_L37e")</f>
        <v>Ribosomal_L37e</v>
      </c>
      <c r="CC49" t="str">
        <f>HYPERLINK("http://pfam.sanger.ac.uk/family?acc=PF01907","1E-017")</f>
        <v>1E-017</v>
      </c>
      <c r="CD49" s="4" t="str">
        <f>HYPERLINK("http://exon.niaid.nih.gov/transcriptome/C_felis/S2/links/SMART/Cf-240-SMART.txt","RING")</f>
        <v>RING</v>
      </c>
      <c r="CE49" t="str">
        <f>HYPERLINK("http://smart.embl-heidelberg.de/smart/do_annotation.pl?DOMAIN=RING&amp;BLAST=DUMMY","0.54")</f>
        <v>0.54</v>
      </c>
      <c r="CF49" s="4" t="s">
        <v>7</v>
      </c>
      <c r="CG49" t="s">
        <v>7</v>
      </c>
      <c r="CH49" t="s">
        <v>7</v>
      </c>
      <c r="CI49" t="s">
        <v>7</v>
      </c>
      <c r="CJ49" t="s">
        <v>7</v>
      </c>
      <c r="CK49" s="7">
        <v>62</v>
      </c>
      <c r="CL49" s="2">
        <v>1</v>
      </c>
      <c r="CM49" s="7">
        <v>62</v>
      </c>
      <c r="CN49" s="2">
        <v>1</v>
      </c>
      <c r="CO49" s="7">
        <v>62</v>
      </c>
      <c r="CP49" s="2">
        <v>1</v>
      </c>
      <c r="CQ49" s="7">
        <v>45</v>
      </c>
      <c r="CR49" s="2">
        <v>1</v>
      </c>
      <c r="CS49" s="7">
        <v>54</v>
      </c>
      <c r="CT49" s="2">
        <v>1</v>
      </c>
      <c r="CU49" s="7">
        <v>61</v>
      </c>
      <c r="CV49" s="2">
        <v>1</v>
      </c>
      <c r="CW49" s="7">
        <v>60</v>
      </c>
      <c r="CX49" s="2">
        <v>1</v>
      </c>
      <c r="CY49" s="7">
        <v>63</v>
      </c>
      <c r="CZ49" s="2">
        <v>1</v>
      </c>
      <c r="DA49" s="7">
        <v>65</v>
      </c>
      <c r="DB49" s="2">
        <v>1</v>
      </c>
      <c r="DC49" s="7">
        <v>66</v>
      </c>
      <c r="DD49" s="2">
        <v>1</v>
      </c>
      <c r="DE49" s="7">
        <v>65</v>
      </c>
      <c r="DF49" s="2">
        <v>1</v>
      </c>
      <c r="DG49" s="7">
        <v>65</v>
      </c>
      <c r="DH49" s="2">
        <v>1</v>
      </c>
      <c r="DI49" s="7">
        <v>66</v>
      </c>
      <c r="DJ49" s="2">
        <v>1</v>
      </c>
      <c r="DK49" s="7">
        <v>66</v>
      </c>
      <c r="DL49" s="2">
        <v>1</v>
      </c>
      <c r="DM49" s="7">
        <v>68</v>
      </c>
      <c r="DN49" s="2">
        <v>1</v>
      </c>
      <c r="DO49" s="7">
        <v>69</v>
      </c>
      <c r="DP49" s="2">
        <v>1</v>
      </c>
      <c r="DQ49" s="7">
        <v>69</v>
      </c>
      <c r="DR49" s="2">
        <v>1</v>
      </c>
      <c r="DS49" s="7">
        <v>70</v>
      </c>
      <c r="DT49" s="2">
        <v>1</v>
      </c>
    </row>
    <row r="50" spans="1:124" x14ac:dyDescent="0.2">
      <c r="A50" t="str">
        <f>HYPERLINK("http://exon.niaid.nih.gov/transcriptome/C_felis/S2/links/pep/Cf-217-pep.txt","Cf-217")</f>
        <v>Cf-217</v>
      </c>
      <c r="B50" s="2">
        <v>3</v>
      </c>
      <c r="C50">
        <v>101</v>
      </c>
      <c r="D50" t="str">
        <f>HYPERLINK("http://exon.niaid.nih.gov/transcriptome/C_felis/S2/links/cds/Cf-217-cds.txt","Cf-217")</f>
        <v>Cf-217</v>
      </c>
      <c r="E50">
        <v>306</v>
      </c>
      <c r="F50" t="s">
        <v>448</v>
      </c>
      <c r="G50">
        <v>0.99009899999999995</v>
      </c>
      <c r="I50" s="2" t="s">
        <v>5</v>
      </c>
      <c r="J50" s="2" t="s">
        <v>3</v>
      </c>
      <c r="K50" s="20" t="str">
        <f>HYPERLINK("http://exon.niaid.nih.gov/transcriptome/C_felis/S2/links/Sigp/Cf-217-SigP.txt","CYT")</f>
        <v>CYT</v>
      </c>
      <c r="L50" s="2" t="s">
        <v>7</v>
      </c>
      <c r="M50" s="2">
        <v>11.454000000000001</v>
      </c>
      <c r="N50" s="2">
        <v>10.32</v>
      </c>
      <c r="O50" s="2" t="s">
        <v>7</v>
      </c>
      <c r="P50" s="2" t="s">
        <v>7</v>
      </c>
      <c r="Q50" s="24" t="s">
        <v>556</v>
      </c>
      <c r="R50" s="20">
        <v>0</v>
      </c>
      <c r="S50" s="2" t="s">
        <v>7</v>
      </c>
      <c r="T50" s="2" t="s">
        <v>7</v>
      </c>
      <c r="U50" s="2" t="s">
        <v>7</v>
      </c>
      <c r="V50" s="2" t="s">
        <v>7</v>
      </c>
      <c r="W50" s="2" t="s">
        <v>7</v>
      </c>
      <c r="X50" s="20" t="str">
        <f>HYPERLINK("http://exon.niaid.nih.gov/transcriptome/C_felis/S2/links/netoglyc/CF-217-netoglyc.txt","1")</f>
        <v>1</v>
      </c>
      <c r="Y50" s="2">
        <v>10.9</v>
      </c>
      <c r="Z50" s="2">
        <v>7.9</v>
      </c>
      <c r="AA50" s="2">
        <v>2</v>
      </c>
      <c r="AB50" t="s">
        <v>437</v>
      </c>
      <c r="AC50" t="s">
        <v>438</v>
      </c>
      <c r="AD50" t="s">
        <v>448</v>
      </c>
      <c r="AE50" s="2">
        <v>3</v>
      </c>
      <c r="AF50" s="4" t="str">
        <f>HYPERLINK("http://exon.niaid.nih.gov/transcriptome/C_felis/S2/links/NR/Cf-217-NR.txt","ribosomal protein S25")</f>
        <v>ribosomal protein S25</v>
      </c>
      <c r="AG50" t="str">
        <f>HYPERLINK("http://www.ncbi.nlm.nih.gov/sutils/blink.cgi?pid=121511978","2E-048")</f>
        <v>2E-048</v>
      </c>
      <c r="AH50" t="str">
        <f>HYPERLINK("http://www.ncbi.nlm.nih.gov/protein/121511978","gi|121511978")</f>
        <v>gi|121511978</v>
      </c>
      <c r="AI50">
        <v>195</v>
      </c>
      <c r="AJ50">
        <v>99</v>
      </c>
      <c r="AK50">
        <v>119</v>
      </c>
      <c r="AL50">
        <v>98</v>
      </c>
      <c r="AM50">
        <v>84</v>
      </c>
      <c r="AN50" t="s">
        <v>63</v>
      </c>
      <c r="AO50" s="4" t="str">
        <f>HYPERLINK("http://exon.niaid.nih.gov/transcriptome/C_felis/S2/links/SWISSP/Cf-217-SWISSP.txt","40S ribosomal protein S25")</f>
        <v>40S ribosomal protein S25</v>
      </c>
      <c r="AP50" t="str">
        <f>HYPERLINK("http://www.uniprot.org/uniprot/Q962Q5","6E-045")</f>
        <v>6E-045</v>
      </c>
      <c r="AQ50" t="s">
        <v>99</v>
      </c>
      <c r="AR50">
        <v>179</v>
      </c>
      <c r="AS50">
        <v>99</v>
      </c>
      <c r="AT50">
        <v>119</v>
      </c>
      <c r="AU50">
        <v>88</v>
      </c>
      <c r="AV50">
        <v>84</v>
      </c>
      <c r="AW50" t="s">
        <v>68</v>
      </c>
      <c r="AX50" s="4" t="s">
        <v>100</v>
      </c>
      <c r="AY50">
        <f>HYPERLINK("http://exon.niaid.nih.gov/transcriptome/C_felis/S2/links/GO/Cf-217-GO.txt",2E-43)</f>
        <v>2.0000000000000002E-43</v>
      </c>
      <c r="AZ50" t="str">
        <f t="shared" si="26"/>
        <v>GO:0003735</v>
      </c>
      <c r="BA50" t="s">
        <v>53</v>
      </c>
      <c r="BB50" t="s">
        <v>54</v>
      </c>
      <c r="BC50" t="s">
        <v>55</v>
      </c>
      <c r="BD50" t="s">
        <v>7</v>
      </c>
      <c r="BF50" s="5">
        <v>2.0000000000000002E-43</v>
      </c>
      <c r="BG50" t="str">
        <f>HYPERLINK("http://amigo.geneontology.org/cgi-bin/amigo/term_details?term=GO:0022627","GO:0022627")</f>
        <v>GO:0022627</v>
      </c>
      <c r="BH50" t="s">
        <v>79</v>
      </c>
      <c r="BI50" t="s">
        <v>80</v>
      </c>
      <c r="BJ50" t="s">
        <v>81</v>
      </c>
      <c r="BK50" t="s">
        <v>7</v>
      </c>
      <c r="BM50" s="5">
        <v>2.0000000000000002E-43</v>
      </c>
      <c r="BN50" t="str">
        <f t="shared" si="27"/>
        <v>GO:0006412</v>
      </c>
      <c r="BO50" t="s">
        <v>59</v>
      </c>
      <c r="BP50" t="s">
        <v>60</v>
      </c>
      <c r="BQ50" t="s">
        <v>61</v>
      </c>
      <c r="BR50" t="s">
        <v>7</v>
      </c>
      <c r="BT50" s="5">
        <v>2.0000000000000002E-43</v>
      </c>
      <c r="BU50" s="4" t="str">
        <f>HYPERLINK("http://exon.niaid.nih.gov/transcriptome/C_felis/S2/links/KOG/Cf-217-KOG.txt","40S ribosomal protein S25")</f>
        <v>40S ribosomal protein S25</v>
      </c>
      <c r="BV50" t="str">
        <f>HYPERLINK("http://www.ncbi.nlm.nih.gov/COG/grace/shokog.cgi?KOG1767","3E-027")</f>
        <v>3E-027</v>
      </c>
      <c r="BW50" t="s">
        <v>62</v>
      </c>
      <c r="BX50" t="str">
        <f>HYPERLINK("http://exon.niaid.nih.gov/transcriptome/C_felis/S2/links/KOG/Cf-217-KOG.txt","KOG1767")</f>
        <v>KOG1767</v>
      </c>
      <c r="BY50" s="4" t="str">
        <f>HYPERLINK("http://exon.niaid.nih.gov/transcriptome/C_felis/S2/links/CDD/Cf-217-CDD.txt","Ribosomal_S25")</f>
        <v>Ribosomal_S25</v>
      </c>
      <c r="BZ50" t="str">
        <f>HYPERLINK("http://www.ncbi.nlm.nih.gov/Structure/cdd/cddsrv.cgi?uid=pfam03297&amp;version=v4.0","1E-035")</f>
        <v>1E-035</v>
      </c>
      <c r="CA50" t="s">
        <v>101</v>
      </c>
      <c r="CB50" s="4" t="str">
        <f>HYPERLINK("http://exon.niaid.nih.gov/transcriptome/C_felis/S2/links/PFAM/Cf-217-PFAM.txt","Ribosomal_S25")</f>
        <v>Ribosomal_S25</v>
      </c>
      <c r="CC50" t="str">
        <f>HYPERLINK("http://pfam.sanger.ac.uk/family?acc=PF03297","2E-036")</f>
        <v>2E-036</v>
      </c>
      <c r="CD50" s="4" t="str">
        <f>HYPERLINK("http://exon.niaid.nih.gov/transcriptome/C_felis/S2/links/SMART/Cf-217-SMART.txt","HTH_GNTR")</f>
        <v>HTH_GNTR</v>
      </c>
      <c r="CE50" t="str">
        <f>HYPERLINK("http://smart.embl-heidelberg.de/smart/do_annotation.pl?DOMAIN=HTH_GNTR&amp;BLAST=DUMMY","0.11")</f>
        <v>0.11</v>
      </c>
      <c r="CF50" s="4" t="s">
        <v>7</v>
      </c>
      <c r="CG50" t="s">
        <v>7</v>
      </c>
      <c r="CH50" t="s">
        <v>7</v>
      </c>
      <c r="CI50" t="s">
        <v>7</v>
      </c>
      <c r="CJ50" t="s">
        <v>7</v>
      </c>
      <c r="CK50" s="7">
        <v>54</v>
      </c>
      <c r="CL50" s="2">
        <v>1</v>
      </c>
      <c r="CM50" s="7">
        <v>54</v>
      </c>
      <c r="CN50" s="2">
        <v>1</v>
      </c>
      <c r="CO50" s="7">
        <v>54</v>
      </c>
      <c r="CP50" s="2">
        <v>1</v>
      </c>
      <c r="CQ50" s="7">
        <v>41</v>
      </c>
      <c r="CR50" s="2">
        <v>1</v>
      </c>
      <c r="CS50" s="7">
        <v>46</v>
      </c>
      <c r="CT50" s="2">
        <v>1</v>
      </c>
      <c r="CU50" s="7">
        <v>53</v>
      </c>
      <c r="CV50" s="2">
        <v>1</v>
      </c>
      <c r="CW50" s="7">
        <v>52</v>
      </c>
      <c r="CX50" s="2">
        <v>1</v>
      </c>
      <c r="CY50" s="7">
        <v>55</v>
      </c>
      <c r="CZ50" s="2">
        <v>1</v>
      </c>
      <c r="DA50" s="7">
        <v>57</v>
      </c>
      <c r="DB50" s="2">
        <v>1</v>
      </c>
      <c r="DC50" s="7">
        <v>58</v>
      </c>
      <c r="DD50" s="2">
        <v>1</v>
      </c>
      <c r="DE50" s="7">
        <v>57</v>
      </c>
      <c r="DF50" s="2">
        <v>1</v>
      </c>
      <c r="DG50" s="7">
        <v>57</v>
      </c>
      <c r="DH50" s="2">
        <v>1</v>
      </c>
      <c r="DI50" s="7">
        <v>58</v>
      </c>
      <c r="DJ50" s="2">
        <v>1</v>
      </c>
      <c r="DK50" s="7">
        <v>58</v>
      </c>
      <c r="DL50" s="2">
        <v>1</v>
      </c>
      <c r="DM50" s="7">
        <v>60</v>
      </c>
      <c r="DN50" s="2">
        <v>1</v>
      </c>
      <c r="DO50" s="7">
        <v>61</v>
      </c>
      <c r="DP50" s="2">
        <v>1</v>
      </c>
      <c r="DQ50" s="7">
        <v>61</v>
      </c>
      <c r="DR50" s="2">
        <v>1</v>
      </c>
      <c r="DS50" s="7">
        <v>62</v>
      </c>
      <c r="DT50" s="2">
        <v>1</v>
      </c>
    </row>
    <row r="51" spans="1:124" x14ac:dyDescent="0.2">
      <c r="A51" t="str">
        <f>HYPERLINK("http://exon.niaid.nih.gov/transcriptome/C_felis/S2/links/pep/Cf-234-pep.txt","Cf-234")</f>
        <v>Cf-234</v>
      </c>
      <c r="B51" s="2">
        <v>3</v>
      </c>
      <c r="C51">
        <v>84</v>
      </c>
      <c r="D51" t="str">
        <f>HYPERLINK("http://exon.niaid.nih.gov/transcriptome/C_felis/S2/links/cds/Cf-234-cds.txt","Cf-234")</f>
        <v>Cf-234</v>
      </c>
      <c r="E51">
        <v>255</v>
      </c>
      <c r="F51" t="s">
        <v>476</v>
      </c>
      <c r="G51">
        <v>0</v>
      </c>
      <c r="I51" s="2" t="s">
        <v>9</v>
      </c>
      <c r="J51" s="2" t="s">
        <v>3</v>
      </c>
      <c r="K51" s="20" t="str">
        <f>HYPERLINK("http://exon.niaid.nih.gov/transcriptome/C_felis/S2/links/Sigp/Cf-234-SigP.txt","CYT")</f>
        <v>CYT</v>
      </c>
      <c r="L51" s="2" t="s">
        <v>7</v>
      </c>
      <c r="M51" s="2">
        <v>9.4949999999999992</v>
      </c>
      <c r="N51" s="2">
        <v>9.69</v>
      </c>
      <c r="O51" s="2" t="s">
        <v>7</v>
      </c>
      <c r="P51" s="2" t="s">
        <v>7</v>
      </c>
      <c r="Q51" s="24" t="s">
        <v>584</v>
      </c>
      <c r="R51" s="20">
        <v>0</v>
      </c>
      <c r="S51" s="2" t="s">
        <v>7</v>
      </c>
      <c r="T51" s="2" t="s">
        <v>7</v>
      </c>
      <c r="U51" s="2" t="s">
        <v>7</v>
      </c>
      <c r="V51" s="2" t="s">
        <v>7</v>
      </c>
      <c r="W51" s="2" t="s">
        <v>7</v>
      </c>
      <c r="X51" s="20" t="str">
        <f>HYPERLINK("http://exon.niaid.nih.gov/transcriptome/C_felis/S2/links/netoglyc/CF-234-netoglyc.txt","0")</f>
        <v>0</v>
      </c>
      <c r="Y51" s="2">
        <v>13.1</v>
      </c>
      <c r="Z51" s="2">
        <v>6</v>
      </c>
      <c r="AA51" s="2">
        <v>6</v>
      </c>
      <c r="AB51" t="s">
        <v>437</v>
      </c>
      <c r="AC51" t="s">
        <v>438</v>
      </c>
      <c r="AD51" t="s">
        <v>476</v>
      </c>
      <c r="AE51" s="2">
        <v>3</v>
      </c>
      <c r="AF51" s="4" t="str">
        <f>HYPERLINK("http://exon.niaid.nih.gov/transcriptome/C_felis/S2/links/NR/Cf-234-NR.txt","ribosomal protein S27")</f>
        <v>ribosomal protein S27</v>
      </c>
      <c r="AG51" t="str">
        <f>HYPERLINK("http://www.ncbi.nlm.nih.gov/sutils/blink.cgi?pid=121512016","5E-044")</f>
        <v>5E-044</v>
      </c>
      <c r="AH51" t="str">
        <f>HYPERLINK("http://www.ncbi.nlm.nih.gov/protein/121512016","gi|121512016")</f>
        <v>gi|121512016</v>
      </c>
      <c r="AI51">
        <v>181</v>
      </c>
      <c r="AJ51">
        <v>83</v>
      </c>
      <c r="AK51">
        <v>84</v>
      </c>
      <c r="AL51">
        <v>100</v>
      </c>
      <c r="AM51">
        <v>100</v>
      </c>
      <c r="AN51" t="s">
        <v>63</v>
      </c>
      <c r="AO51" s="4" t="str">
        <f>HYPERLINK("http://exon.niaid.nih.gov/transcriptome/C_felis/S2/links/SWISSP/Cf-234-SWISSP.txt","40S ribosomal protein S27")</f>
        <v>40S ribosomal protein S27</v>
      </c>
      <c r="AP51" t="str">
        <f>HYPERLINK("http://www.uniprot.org/uniprot/P47904","2E-040")</f>
        <v>2E-040</v>
      </c>
      <c r="AQ51" t="s">
        <v>290</v>
      </c>
      <c r="AR51">
        <v>164</v>
      </c>
      <c r="AS51">
        <v>83</v>
      </c>
      <c r="AT51">
        <v>84</v>
      </c>
      <c r="AU51">
        <v>88</v>
      </c>
      <c r="AV51">
        <v>100</v>
      </c>
      <c r="AW51" t="s">
        <v>88</v>
      </c>
      <c r="AX51" s="4" t="s">
        <v>291</v>
      </c>
      <c r="AY51">
        <f>HYPERLINK("http://exon.niaid.nih.gov/transcriptome/C_felis/S2/links/GO/Cf-234-GO.txt",6E-41)</f>
        <v>5.9999999999999998E-41</v>
      </c>
      <c r="AZ51" t="str">
        <f t="shared" si="26"/>
        <v>GO:0003735</v>
      </c>
      <c r="BA51" t="s">
        <v>53</v>
      </c>
      <c r="BB51" t="s">
        <v>54</v>
      </c>
      <c r="BC51" t="s">
        <v>55</v>
      </c>
      <c r="BD51" t="s">
        <v>7</v>
      </c>
      <c r="BF51" s="5">
        <v>5.9999999999999998E-41</v>
      </c>
      <c r="BG51" t="str">
        <f>HYPERLINK("http://amigo.geneontology.org/cgi-bin/amigo/term_details?term=GO:0005622","GO:0005622")</f>
        <v>GO:0005622</v>
      </c>
      <c r="BH51" t="s">
        <v>128</v>
      </c>
      <c r="BI51" t="s">
        <v>129</v>
      </c>
      <c r="BJ51" t="s">
        <v>130</v>
      </c>
      <c r="BK51" t="s">
        <v>7</v>
      </c>
      <c r="BM51" s="5">
        <v>5.9999999999999998E-41</v>
      </c>
      <c r="BN51" t="str">
        <f t="shared" si="27"/>
        <v>GO:0006412</v>
      </c>
      <c r="BO51" t="s">
        <v>59</v>
      </c>
      <c r="BP51" t="s">
        <v>60</v>
      </c>
      <c r="BQ51" t="s">
        <v>61</v>
      </c>
      <c r="BR51" t="s">
        <v>7</v>
      </c>
      <c r="BT51" s="5">
        <v>5.9999999999999998E-41</v>
      </c>
      <c r="BU51" s="4" t="str">
        <f>HYPERLINK("http://exon.niaid.nih.gov/transcriptome/C_felis/S2/links/KOG/Cf-234-KOG.txt","40s ribosomal protein S27")</f>
        <v>40s ribosomal protein S27</v>
      </c>
      <c r="BV51" t="str">
        <f>HYPERLINK("http://www.ncbi.nlm.nih.gov/COG/grace/shokog.cgi?KOG1779","3E-034")</f>
        <v>3E-034</v>
      </c>
      <c r="BW51" t="s">
        <v>62</v>
      </c>
      <c r="BX51" t="str">
        <f>HYPERLINK("http://exon.niaid.nih.gov/transcriptome/C_felis/S2/links/KOG/Cf-234-KOG.txt","KOG1779")</f>
        <v>KOG1779</v>
      </c>
      <c r="BY51" s="4" t="str">
        <f>HYPERLINK("http://exon.niaid.nih.gov/transcriptome/C_felis/S2/links/CDD/Cf-234-CDD.txt","PTZ00083")</f>
        <v>PTZ00083</v>
      </c>
      <c r="BZ51" t="str">
        <f>HYPERLINK("http://www.ncbi.nlm.nih.gov/Structure/cdd/cddsrv.cgi?uid=PTZ00083&amp;version=v4.0","1E-036")</f>
        <v>1E-036</v>
      </c>
      <c r="CA51" t="s">
        <v>292</v>
      </c>
      <c r="CB51" s="4" t="str">
        <f>HYPERLINK("http://exon.niaid.nih.gov/transcriptome/C_felis/S2/links/PFAM/Cf-234-PFAM.txt","Ribosomal_S27e")</f>
        <v>Ribosomal_S27e</v>
      </c>
      <c r="CC51" t="str">
        <f>HYPERLINK("http://pfam.sanger.ac.uk/family?acc=PF01667","2E-020")</f>
        <v>2E-020</v>
      </c>
      <c r="CD51" s="4" t="str">
        <f>HYPERLINK("http://exon.niaid.nih.gov/transcriptome/C_felis/S2/links/SMART/Cf-234-SMART.txt","ZP")</f>
        <v>ZP</v>
      </c>
      <c r="CE51" t="str">
        <f>HYPERLINK("http://smart.embl-heidelberg.de/smart/do_annotation.pl?DOMAIN=ZP&amp;BLAST=DUMMY","0.055")</f>
        <v>0.055</v>
      </c>
      <c r="CF51" s="4" t="s">
        <v>7</v>
      </c>
      <c r="CG51" t="s">
        <v>7</v>
      </c>
      <c r="CH51" t="s">
        <v>7</v>
      </c>
      <c r="CI51" t="s">
        <v>7</v>
      </c>
      <c r="CJ51" t="s">
        <v>7</v>
      </c>
      <c r="CK51" s="7">
        <v>59</v>
      </c>
      <c r="CL51" s="2">
        <v>1</v>
      </c>
      <c r="CM51" s="7">
        <v>59</v>
      </c>
      <c r="CN51" s="2">
        <v>1</v>
      </c>
      <c r="CO51" s="7">
        <v>59</v>
      </c>
      <c r="CP51" s="2">
        <v>1</v>
      </c>
      <c r="CQ51" s="7">
        <f>HYPERLINK("http://exon.niaid.nih.gov/transcriptome/C_felis/S2/links/cluster/cf-pep25-50-Sim-CLU2.txt", 2)</f>
        <v>2</v>
      </c>
      <c r="CR51" s="2">
        <f>HYPERLINK("http://exon.niaid.nih.gov/transcriptome/C_felis/S2/links/cluster/cf-pep25-50-Sim-CLTL2.txt", 34)</f>
        <v>34</v>
      </c>
      <c r="CS51" s="7">
        <v>51</v>
      </c>
      <c r="CT51" s="2">
        <v>1</v>
      </c>
      <c r="CU51" s="7">
        <v>58</v>
      </c>
      <c r="CV51" s="2">
        <v>1</v>
      </c>
      <c r="CW51" s="7">
        <v>57</v>
      </c>
      <c r="CX51" s="2">
        <v>1</v>
      </c>
      <c r="CY51" s="7">
        <v>60</v>
      </c>
      <c r="CZ51" s="2">
        <v>1</v>
      </c>
      <c r="DA51" s="7">
        <v>62</v>
      </c>
      <c r="DB51" s="2">
        <v>1</v>
      </c>
      <c r="DC51" s="7">
        <v>63</v>
      </c>
      <c r="DD51" s="2">
        <v>1</v>
      </c>
      <c r="DE51" s="7">
        <v>62</v>
      </c>
      <c r="DF51" s="2">
        <v>1</v>
      </c>
      <c r="DG51" s="7">
        <v>62</v>
      </c>
      <c r="DH51" s="2">
        <v>1</v>
      </c>
      <c r="DI51" s="7">
        <v>63</v>
      </c>
      <c r="DJ51" s="2">
        <v>1</v>
      </c>
      <c r="DK51" s="7">
        <v>63</v>
      </c>
      <c r="DL51" s="2">
        <v>1</v>
      </c>
      <c r="DM51" s="7">
        <v>65</v>
      </c>
      <c r="DN51" s="2">
        <v>1</v>
      </c>
      <c r="DO51" s="7">
        <v>66</v>
      </c>
      <c r="DP51" s="2">
        <v>1</v>
      </c>
      <c r="DQ51" s="7">
        <v>66</v>
      </c>
      <c r="DR51" s="2">
        <v>1</v>
      </c>
      <c r="DS51" s="7">
        <v>67</v>
      </c>
      <c r="DT51" s="2">
        <v>1</v>
      </c>
    </row>
    <row r="52" spans="1:124" x14ac:dyDescent="0.2">
      <c r="A52" t="str">
        <f>HYPERLINK("http://exon.niaid.nih.gov/transcriptome/C_felis/S2/links/pep/Cf-171-pep.txt","Cf-171")</f>
        <v>Cf-171</v>
      </c>
      <c r="B52" s="2">
        <v>1</v>
      </c>
      <c r="C52">
        <v>167</v>
      </c>
      <c r="D52" t="str">
        <f>HYPERLINK("http://exon.niaid.nih.gov/transcriptome/C_felis/S2/links/cds/Cf-171-cds.txt","Cf-171")</f>
        <v>Cf-171</v>
      </c>
      <c r="E52">
        <v>504</v>
      </c>
      <c r="F52" t="s">
        <v>479</v>
      </c>
      <c r="G52">
        <v>0</v>
      </c>
      <c r="I52" s="2" t="s">
        <v>10</v>
      </c>
      <c r="J52" s="2" t="s">
        <v>3</v>
      </c>
      <c r="K52" s="20" t="str">
        <f>HYPERLINK("http://exon.niaid.nih.gov/transcriptome/C_felis/S2/links/Sigp/Cf-171-SigP.txt","CYT")</f>
        <v>CYT</v>
      </c>
      <c r="L52" s="2" t="s">
        <v>7</v>
      </c>
      <c r="M52" s="2">
        <v>19.475999999999999</v>
      </c>
      <c r="N52" s="2">
        <v>10.09</v>
      </c>
      <c r="O52" s="2" t="s">
        <v>7</v>
      </c>
      <c r="P52" s="2" t="s">
        <v>7</v>
      </c>
      <c r="Q52" s="24" t="s">
        <v>556</v>
      </c>
      <c r="R52" s="20">
        <v>0</v>
      </c>
      <c r="S52" s="2" t="s">
        <v>7</v>
      </c>
      <c r="T52" s="2" t="s">
        <v>7</v>
      </c>
      <c r="U52" s="2" t="s">
        <v>7</v>
      </c>
      <c r="V52" s="2" t="s">
        <v>7</v>
      </c>
      <c r="W52" s="2" t="s">
        <v>7</v>
      </c>
      <c r="X52" s="20" t="str">
        <f>HYPERLINK("http://exon.niaid.nih.gov/transcriptome/C_felis/S2/links/netoglyc/CF-171-netoglyc.txt","1")</f>
        <v>1</v>
      </c>
      <c r="Y52" s="2">
        <v>13.2</v>
      </c>
      <c r="Z52" s="2">
        <v>3.6</v>
      </c>
      <c r="AA52" s="2">
        <v>4.8</v>
      </c>
      <c r="AB52" t="s">
        <v>437</v>
      </c>
      <c r="AC52" t="s">
        <v>438</v>
      </c>
      <c r="AD52" t="s">
        <v>479</v>
      </c>
      <c r="AE52" s="2">
        <v>1</v>
      </c>
      <c r="AF52" s="4" t="str">
        <f>HYPERLINK("http://exon.niaid.nih.gov/transcriptome/C_felis/S2/links/NR/Cf-171-NR.txt","ribosomal protein S7")</f>
        <v>ribosomal protein S7</v>
      </c>
      <c r="AG52" t="str">
        <f>HYPERLINK("http://www.ncbi.nlm.nih.gov/sutils/blink.cgi?pid=121512008","1E-085")</f>
        <v>1E-085</v>
      </c>
      <c r="AH52" t="str">
        <f>HYPERLINK("http://www.ncbi.nlm.nih.gov/protein/121512008","gi|121512008")</f>
        <v>gi|121512008</v>
      </c>
      <c r="AI52">
        <v>319</v>
      </c>
      <c r="AJ52">
        <v>164</v>
      </c>
      <c r="AK52">
        <v>191</v>
      </c>
      <c r="AL52">
        <v>98</v>
      </c>
      <c r="AM52">
        <v>86</v>
      </c>
      <c r="AN52" t="s">
        <v>63</v>
      </c>
      <c r="AO52" s="4" t="str">
        <f>HYPERLINK("http://exon.niaid.nih.gov/transcriptome/C_felis/S2/links/SWISSP/Cf-171-SWISSP.txt","40S ribosomal protein S7")</f>
        <v>40S ribosomal protein S7</v>
      </c>
      <c r="AP52" t="str">
        <f>HYPERLINK("http://www.uniprot.org/uniprot/P48155","6E-079")</f>
        <v>6E-079</v>
      </c>
      <c r="AQ52" t="s">
        <v>224</v>
      </c>
      <c r="AR52">
        <v>292</v>
      </c>
      <c r="AS52">
        <v>164</v>
      </c>
      <c r="AT52">
        <v>190</v>
      </c>
      <c r="AU52">
        <v>89</v>
      </c>
      <c r="AV52">
        <v>87</v>
      </c>
      <c r="AW52" t="s">
        <v>51</v>
      </c>
      <c r="AX52" s="4" t="s">
        <v>225</v>
      </c>
      <c r="AY52">
        <f>HYPERLINK("http://exon.niaid.nih.gov/transcriptome/C_felis/S2/links/GO/Cf-171-GO.txt",7E-77)</f>
        <v>7.0000000000000003E-77</v>
      </c>
      <c r="AZ52" t="str">
        <f t="shared" si="26"/>
        <v>GO:0003735</v>
      </c>
      <c r="BA52" t="s">
        <v>53</v>
      </c>
      <c r="BB52" t="s">
        <v>54</v>
      </c>
      <c r="BC52" t="s">
        <v>55</v>
      </c>
      <c r="BD52" t="s">
        <v>7</v>
      </c>
      <c r="BF52" s="5">
        <v>4.9999999999999998E-73</v>
      </c>
      <c r="BG52" t="str">
        <f>HYPERLINK("http://amigo.geneontology.org/cgi-bin/amigo/term_details?term=GO:0022627","GO:0022627")</f>
        <v>GO:0022627</v>
      </c>
      <c r="BH52" t="s">
        <v>79</v>
      </c>
      <c r="BI52" t="s">
        <v>80</v>
      </c>
      <c r="BJ52" t="s">
        <v>81</v>
      </c>
      <c r="BK52" t="s">
        <v>7</v>
      </c>
      <c r="BM52" s="5">
        <v>4.9999999999999998E-73</v>
      </c>
      <c r="BN52" t="str">
        <f t="shared" si="27"/>
        <v>GO:0006412</v>
      </c>
      <c r="BO52" t="s">
        <v>59</v>
      </c>
      <c r="BP52" t="s">
        <v>60</v>
      </c>
      <c r="BQ52" t="s">
        <v>61</v>
      </c>
      <c r="BR52" t="s">
        <v>7</v>
      </c>
      <c r="BT52" s="5">
        <v>4.9999999999999998E-73</v>
      </c>
      <c r="BU52" s="4" t="str">
        <f>HYPERLINK("http://exon.niaid.nih.gov/transcriptome/C_felis/S2/links/KOG/Cf-171-KOG.txt","40S ribosomal protein S7")</f>
        <v>40S ribosomal protein S7</v>
      </c>
      <c r="BV52" t="str">
        <f>HYPERLINK("http://www.ncbi.nlm.nih.gov/COG/grace/shokog.cgi?KOG3320","3E-060")</f>
        <v>3E-060</v>
      </c>
      <c r="BW52" t="s">
        <v>62</v>
      </c>
      <c r="BX52" t="str">
        <f>HYPERLINK("http://exon.niaid.nih.gov/transcriptome/C_felis/S2/links/KOG/Cf-171-KOG.txt","KOG3320")</f>
        <v>KOG3320</v>
      </c>
      <c r="BY52" s="4" t="str">
        <f>HYPERLINK("http://exon.niaid.nih.gov/transcriptome/C_felis/S2/links/CDD/Cf-171-CDD.txt","Ribosomal_S7e")</f>
        <v>Ribosomal_S7e</v>
      </c>
      <c r="BZ52" t="str">
        <f>HYPERLINK("http://www.ncbi.nlm.nih.gov/Structure/cdd/cddsrv.cgi?uid=pfam01251&amp;version=v4.0","5E-072")</f>
        <v>5E-072</v>
      </c>
      <c r="CA52" t="s">
        <v>227</v>
      </c>
      <c r="CB52" s="4" t="str">
        <f>HYPERLINK("http://exon.niaid.nih.gov/transcriptome/C_felis/S2/links/PFAM/Cf-171-PFAM.txt","Ribosomal_S7e")</f>
        <v>Ribosomal_S7e</v>
      </c>
      <c r="CC52" t="str">
        <f>HYPERLINK("http://pfam.sanger.ac.uk/family?acc=PF01251","1E-072")</f>
        <v>1E-072</v>
      </c>
      <c r="CD52" s="4" t="str">
        <f>HYPERLINK("http://exon.niaid.nih.gov/transcriptome/C_felis/S2/links/SMART/Cf-171-SMART.txt","RNAse_Pc")</f>
        <v>RNAse_Pc</v>
      </c>
      <c r="CE52" t="str">
        <f>HYPERLINK("http://smart.embl-heidelberg.de/smart/do_annotation.pl?DOMAIN=RNAse_Pc&amp;BLAST=DUMMY","0.067")</f>
        <v>0.067</v>
      </c>
      <c r="CF52" s="4" t="s">
        <v>7</v>
      </c>
      <c r="CG52" t="s">
        <v>7</v>
      </c>
      <c r="CH52" t="s">
        <v>7</v>
      </c>
      <c r="CI52" t="s">
        <v>7</v>
      </c>
      <c r="CJ52" t="s">
        <v>7</v>
      </c>
      <c r="CK52" s="7">
        <f>HYPERLINK("http://exon.niaid.nih.gov/transcriptome/C_felis/S2/links/cluster/cf-pep95-2-Id-CLU7.txt", 7)</f>
        <v>7</v>
      </c>
      <c r="CL52" s="2">
        <f>HYPERLINK("http://exon.niaid.nih.gov/transcriptome/C_felis/S2/links/cluster/cf-pep95-2-Id-CLTL7.txt", 3)</f>
        <v>3</v>
      </c>
      <c r="CM52" s="7">
        <f>HYPERLINK("http://exon.niaid.nih.gov/transcriptome/C_felis/S2/links/cluster/cf-pep100-3-Id-CLU7.txt", 7)</f>
        <v>7</v>
      </c>
      <c r="CN52" s="2">
        <f>HYPERLINK("http://exon.niaid.nih.gov/transcriptome/C_felis/S2/links/cluster/cf-pep100-3-Id-CLTL7.txt", 3)</f>
        <v>3</v>
      </c>
      <c r="CO52" s="7">
        <f>HYPERLINK("http://exon.niaid.nih.gov/transcriptome/C_felis/S2/links/cluster/cf-pep100-4-Id-CLU7.txt", 7)</f>
        <v>7</v>
      </c>
      <c r="CP52" s="2">
        <f>HYPERLINK("http://exon.niaid.nih.gov/transcriptome/C_felis/S2/links/cluster/cf-pep100-4-Id-CLTL7.txt", 3)</f>
        <v>3</v>
      </c>
      <c r="CQ52" s="7">
        <f>HYPERLINK("http://exon.niaid.nih.gov/transcriptome/C_felis/S2/links/cluster/cf-pep25-50-Sim-CLU7.txt", 7)</f>
        <v>7</v>
      </c>
      <c r="CR52" s="2">
        <f>HYPERLINK("http://exon.niaid.nih.gov/transcriptome/C_felis/S2/links/cluster/cf-pep25-50-Sim-CLTL7.txt", 3)</f>
        <v>3</v>
      </c>
      <c r="CS52" s="7">
        <f>HYPERLINK("http://exon.niaid.nih.gov/transcriptome/C_felis/S2/links/cluster/cf-pep30-50-Sim-CLU8.txt", 8)</f>
        <v>8</v>
      </c>
      <c r="CT52" s="2">
        <f>HYPERLINK("http://exon.niaid.nih.gov/transcriptome/C_felis/S2/links/cluster/cf-pep30-50-Sim-CLTL8.txt", 3)</f>
        <v>3</v>
      </c>
      <c r="CU52" s="7">
        <f>HYPERLINK("http://exon.niaid.nih.gov/transcriptome/C_felis/S2/links/cluster/cf-pep35-50-Sim-CLU8.txt", 8)</f>
        <v>8</v>
      </c>
      <c r="CV52" s="2">
        <f>HYPERLINK("http://exon.niaid.nih.gov/transcriptome/C_felis/S2/links/cluster/cf-pep35-50-Sim-CLTL8.txt", 3)</f>
        <v>3</v>
      </c>
      <c r="CW52" s="7">
        <f>HYPERLINK("http://exon.niaid.nih.gov/transcriptome/C_felis/S2/links/cluster/cf-pep40-50-Sim-CLU7.txt", 7)</f>
        <v>7</v>
      </c>
      <c r="CX52" s="2">
        <f>HYPERLINK("http://exon.niaid.nih.gov/transcriptome/C_felis/S2/links/cluster/cf-pep40-50-Sim-CLTL7.txt", 3)</f>
        <v>3</v>
      </c>
      <c r="CY52" s="7">
        <f>HYPERLINK("http://exon.niaid.nih.gov/transcriptome/C_felis/S2/links/cluster/cf-pep45-50-Sim-CLU7.txt", 7)</f>
        <v>7</v>
      </c>
      <c r="CZ52" s="2">
        <f>HYPERLINK("http://exon.niaid.nih.gov/transcriptome/C_felis/S2/links/cluster/cf-pep45-50-Sim-CLTL7.txt", 3)</f>
        <v>3</v>
      </c>
      <c r="DA52" s="7">
        <f>HYPERLINK("http://exon.niaid.nih.gov/transcriptome/C_felis/S2/links/cluster/cf-pep50-50-Sim-CLU7.txt", 7)</f>
        <v>7</v>
      </c>
      <c r="DB52" s="2">
        <f>HYPERLINK("http://exon.niaid.nih.gov/transcriptome/C_felis/S2/links/cluster/cf-pep50-50-Sim-CLTL7.txt", 3)</f>
        <v>3</v>
      </c>
      <c r="DC52" s="7">
        <f>HYPERLINK("http://exon.niaid.nih.gov/transcriptome/C_felis/S2/links/cluster/cf-pep55-50-Sim-CLU7.txt", 7)</f>
        <v>7</v>
      </c>
      <c r="DD52" s="2">
        <f>HYPERLINK("http://exon.niaid.nih.gov/transcriptome/C_felis/S2/links/cluster/cf-pep55-50-Sim-CLTL7.txt", 3)</f>
        <v>3</v>
      </c>
      <c r="DE52" s="7">
        <f>HYPERLINK("http://exon.niaid.nih.gov/transcriptome/C_felis/S2/links/cluster/cf-pep60-50-Sim-CLU5.txt", 5)</f>
        <v>5</v>
      </c>
      <c r="DF52" s="2">
        <f>HYPERLINK("http://exon.niaid.nih.gov/transcriptome/C_felis/S2/links/cluster/cf-pep60-50-Sim-CLTL5.txt", 3)</f>
        <v>3</v>
      </c>
      <c r="DG52" s="7">
        <f>HYPERLINK("http://exon.niaid.nih.gov/transcriptome/C_felis/S2/links/cluster/cf-pep65-50-Sim-CLU5.txt", 5)</f>
        <v>5</v>
      </c>
      <c r="DH52" s="2">
        <f>HYPERLINK("http://exon.niaid.nih.gov/transcriptome/C_felis/S2/links/cluster/cf-pep65-50-Sim-CLTL5.txt", 3)</f>
        <v>3</v>
      </c>
      <c r="DI52" s="7">
        <f>HYPERLINK("http://exon.niaid.nih.gov/transcriptome/C_felis/S2/links/cluster/cf-pep70-50-Sim-CLU6.txt", 6)</f>
        <v>6</v>
      </c>
      <c r="DJ52" s="2">
        <f>HYPERLINK("http://exon.niaid.nih.gov/transcriptome/C_felis/S2/links/cluster/cf-pep70-50-Sim-CLTL6.txt", 3)</f>
        <v>3</v>
      </c>
      <c r="DK52" s="7">
        <f>HYPERLINK("http://exon.niaid.nih.gov/transcriptome/C_felis/S2/links/cluster/cf-pep75-50-Sim-CLU6.txt", 6)</f>
        <v>6</v>
      </c>
      <c r="DL52" s="2">
        <f>HYPERLINK("http://exon.niaid.nih.gov/transcriptome/C_felis/S2/links/cluster/cf-pep75-50-Sim-CLTL6.txt", 3)</f>
        <v>3</v>
      </c>
      <c r="DM52" s="7">
        <f>HYPERLINK("http://exon.niaid.nih.gov/transcriptome/C_felis/S2/links/cluster/cf-pep80-50-Sim-CLU5.txt", 5)</f>
        <v>5</v>
      </c>
      <c r="DN52" s="2">
        <f>HYPERLINK("http://exon.niaid.nih.gov/transcriptome/C_felis/S2/links/cluster/cf-pep80-50-Sim-CLTL5.txt", 3)</f>
        <v>3</v>
      </c>
      <c r="DO52" s="7">
        <f>HYPERLINK("http://exon.niaid.nih.gov/transcriptome/C_felis/S2/links/cluster/cf-pep85-50-Sim-CLU4.txt", 4)</f>
        <v>4</v>
      </c>
      <c r="DP52" s="2">
        <f>HYPERLINK("http://exon.niaid.nih.gov/transcriptome/C_felis/S2/links/cluster/cf-pep85-50-Sim-CLTL4.txt", 3)</f>
        <v>3</v>
      </c>
      <c r="DQ52" s="7">
        <f>HYPERLINK("http://exon.niaid.nih.gov/transcriptome/C_felis/S2/links/cluster/cf-pep90-50-Sim-CLU3.txt", 3)</f>
        <v>3</v>
      </c>
      <c r="DR52" s="2">
        <f>HYPERLINK("http://exon.niaid.nih.gov/transcriptome/C_felis/S2/links/cluster/cf-pep90-50-Sim-CLTL3.txt", 3)</f>
        <v>3</v>
      </c>
      <c r="DS52" s="7">
        <f>HYPERLINK("http://exon.niaid.nih.gov/transcriptome/C_felis/S2/links/cluster/cf-pep95-50-Sim-CLU5.txt", 5)</f>
        <v>5</v>
      </c>
      <c r="DT52" s="2">
        <f>HYPERLINK("http://exon.niaid.nih.gov/transcriptome/C_felis/S2/links/cluster/cf-pep95-50-Sim-CLTL5.txt", 2)</f>
        <v>2</v>
      </c>
    </row>
    <row r="53" spans="1:124" x14ac:dyDescent="0.2">
      <c r="A53" t="str">
        <f>HYPERLINK("http://exon.niaid.nih.gov/transcriptome/C_felis/S2/links/pep/Cf-172-pep.txt","Cf-172")</f>
        <v>Cf-172</v>
      </c>
      <c r="B53" s="2">
        <v>1</v>
      </c>
      <c r="C53">
        <v>181</v>
      </c>
      <c r="D53" t="str">
        <f>HYPERLINK("http://exon.niaid.nih.gov/transcriptome/C_felis/S2/links/cds/Cf-172-cds.txt","Cf-172")</f>
        <v>Cf-172</v>
      </c>
      <c r="E53">
        <v>546</v>
      </c>
      <c r="F53" t="s">
        <v>479</v>
      </c>
      <c r="G53">
        <v>0</v>
      </c>
      <c r="I53" s="2" t="s">
        <v>10</v>
      </c>
      <c r="J53" s="2" t="s">
        <v>3</v>
      </c>
      <c r="K53" s="20" t="str">
        <f>HYPERLINK("http://exon.niaid.nih.gov/transcriptome/C_felis/S2/links/Sigp/Cf-172-SigP.txt","CYT")</f>
        <v>CYT</v>
      </c>
      <c r="L53" s="2" t="s">
        <v>7</v>
      </c>
      <c r="M53" s="2">
        <v>20.963000000000001</v>
      </c>
      <c r="N53" s="2">
        <v>9.89</v>
      </c>
      <c r="O53" s="2" t="s">
        <v>7</v>
      </c>
      <c r="P53" s="2" t="s">
        <v>7</v>
      </c>
      <c r="Q53" s="24" t="s">
        <v>556</v>
      </c>
      <c r="R53" s="20">
        <v>0</v>
      </c>
      <c r="S53" s="2" t="s">
        <v>7</v>
      </c>
      <c r="T53" s="2" t="s">
        <v>7</v>
      </c>
      <c r="U53" s="2" t="s">
        <v>7</v>
      </c>
      <c r="V53" s="2" t="s">
        <v>7</v>
      </c>
      <c r="W53" s="2" t="s">
        <v>7</v>
      </c>
      <c r="X53" s="20" t="str">
        <f>HYPERLINK("http://exon.niaid.nih.gov/transcriptome/C_felis/S2/links/netoglyc/CF-172-netoglyc.txt","1")</f>
        <v>1</v>
      </c>
      <c r="Y53" s="2">
        <v>13.8</v>
      </c>
      <c r="Z53" s="2">
        <v>3.3</v>
      </c>
      <c r="AA53" s="2">
        <v>5.5</v>
      </c>
      <c r="AB53" t="s">
        <v>437</v>
      </c>
      <c r="AC53" t="s">
        <v>438</v>
      </c>
      <c r="AD53" t="s">
        <v>479</v>
      </c>
      <c r="AE53" s="2">
        <v>1</v>
      </c>
      <c r="AF53" s="4" t="str">
        <f>HYPERLINK("http://exon.niaid.nih.gov/transcriptome/C_felis/S2/links/NR/Cf-172-NR.txt","ribosomal protein S7")</f>
        <v>ribosomal protein S7</v>
      </c>
      <c r="AG53" t="str">
        <f>HYPERLINK("http://www.ncbi.nlm.nih.gov/sutils/blink.cgi?pid=121512008","2E-092")</f>
        <v>2E-092</v>
      </c>
      <c r="AH53" t="str">
        <f>HYPERLINK("http://www.ncbi.nlm.nih.gov/protein/121512008","gi|121512008")</f>
        <v>gi|121512008</v>
      </c>
      <c r="AI53">
        <v>342</v>
      </c>
      <c r="AJ53">
        <v>178</v>
      </c>
      <c r="AK53">
        <v>191</v>
      </c>
      <c r="AL53">
        <v>97</v>
      </c>
      <c r="AM53">
        <v>94</v>
      </c>
      <c r="AN53" t="s">
        <v>63</v>
      </c>
      <c r="AO53" s="4" t="str">
        <f>HYPERLINK("http://exon.niaid.nih.gov/transcriptome/C_felis/S2/links/SWISSP/Cf-172-SWISSP.txt","40S ribosomal protein S7")</f>
        <v>40S ribosomal protein S7</v>
      </c>
      <c r="AP53" t="str">
        <f>HYPERLINK("http://www.uniprot.org/uniprot/Q962S0","1E-084")</f>
        <v>1E-084</v>
      </c>
      <c r="AQ53" t="s">
        <v>228</v>
      </c>
      <c r="AR53">
        <v>311</v>
      </c>
      <c r="AS53">
        <v>178</v>
      </c>
      <c r="AT53">
        <v>190</v>
      </c>
      <c r="AU53">
        <v>87</v>
      </c>
      <c r="AV53">
        <v>94</v>
      </c>
      <c r="AW53" t="s">
        <v>68</v>
      </c>
      <c r="AX53" s="4" t="s">
        <v>225</v>
      </c>
      <c r="AY53">
        <f>HYPERLINK("http://exon.niaid.nih.gov/transcriptome/C_felis/S2/links/GO/Cf-172-GO.txt",2E-83)</f>
        <v>2.0000000000000001E-83</v>
      </c>
      <c r="AZ53" t="str">
        <f t="shared" si="26"/>
        <v>GO:0003735</v>
      </c>
      <c r="BA53" t="s">
        <v>53</v>
      </c>
      <c r="BB53" t="s">
        <v>54</v>
      </c>
      <c r="BC53" t="s">
        <v>55</v>
      </c>
      <c r="BD53" t="s">
        <v>7</v>
      </c>
      <c r="BF53" s="5">
        <v>9.9999999999999993E-78</v>
      </c>
      <c r="BG53" t="str">
        <f>HYPERLINK("http://amigo.geneontology.org/cgi-bin/amigo/term_details?term=GO:0022627","GO:0022627")</f>
        <v>GO:0022627</v>
      </c>
      <c r="BH53" t="s">
        <v>79</v>
      </c>
      <c r="BI53" t="s">
        <v>80</v>
      </c>
      <c r="BJ53" t="s">
        <v>81</v>
      </c>
      <c r="BK53" t="s">
        <v>7</v>
      </c>
      <c r="BM53" s="5">
        <v>9.9999999999999993E-78</v>
      </c>
      <c r="BN53" t="str">
        <f t="shared" si="27"/>
        <v>GO:0006412</v>
      </c>
      <c r="BO53" t="s">
        <v>59</v>
      </c>
      <c r="BP53" t="s">
        <v>60</v>
      </c>
      <c r="BQ53" t="s">
        <v>61</v>
      </c>
      <c r="BR53" t="s">
        <v>7</v>
      </c>
      <c r="BT53" s="5">
        <v>9.9999999999999993E-78</v>
      </c>
      <c r="BU53" s="4" t="str">
        <f>HYPERLINK("http://exon.niaid.nih.gov/transcriptome/C_felis/S2/links/KOG/Cf-172-KOG.txt","40S ribosomal protein S7")</f>
        <v>40S ribosomal protein S7</v>
      </c>
      <c r="BV53" t="str">
        <f>HYPERLINK("http://www.ncbi.nlm.nih.gov/COG/grace/shokog.cgi?KOG3320","5E-065")</f>
        <v>5E-065</v>
      </c>
      <c r="BW53" t="s">
        <v>62</v>
      </c>
      <c r="BX53" t="str">
        <f>HYPERLINK("http://exon.niaid.nih.gov/transcriptome/C_felis/S2/links/KOG/Cf-172-KOG.txt","KOG3320")</f>
        <v>KOG3320</v>
      </c>
      <c r="BY53" s="4" t="str">
        <f>HYPERLINK("http://exon.niaid.nih.gov/transcriptome/C_felis/S2/links/CDD/Cf-172-CDD.txt","Ribosomal_S7e")</f>
        <v>Ribosomal_S7e</v>
      </c>
      <c r="BZ53" t="str">
        <f>HYPERLINK("http://www.ncbi.nlm.nih.gov/Structure/cdd/cddsrv.cgi?uid=pfam01251&amp;version=v4.0","2E-077")</f>
        <v>2E-077</v>
      </c>
      <c r="CA53" t="s">
        <v>229</v>
      </c>
      <c r="CB53" s="4" t="str">
        <f>HYPERLINK("http://exon.niaid.nih.gov/transcriptome/C_felis/S2/links/PFAM/Cf-172-PFAM.txt","Ribosomal_S7e")</f>
        <v>Ribosomal_S7e</v>
      </c>
      <c r="CC53" t="str">
        <f>HYPERLINK("http://pfam.sanger.ac.uk/family?acc=PF01251","3E-078")</f>
        <v>3E-078</v>
      </c>
      <c r="CD53" s="4" t="str">
        <f>HYPERLINK("http://exon.niaid.nih.gov/transcriptome/C_felis/S2/links/SMART/Cf-172-SMART.txt","RNAse_Pc")</f>
        <v>RNAse_Pc</v>
      </c>
      <c r="CE53" t="str">
        <f>HYPERLINK("http://smart.embl-heidelberg.de/smart/do_annotation.pl?DOMAIN=RNAse_Pc&amp;BLAST=DUMMY","0.068")</f>
        <v>0.068</v>
      </c>
      <c r="CF53" s="4" t="s">
        <v>7</v>
      </c>
      <c r="CG53" t="s">
        <v>7</v>
      </c>
      <c r="CH53" t="s">
        <v>7</v>
      </c>
      <c r="CI53" t="s">
        <v>7</v>
      </c>
      <c r="CJ53" t="s">
        <v>7</v>
      </c>
      <c r="CK53" s="7">
        <f>HYPERLINK("http://exon.niaid.nih.gov/transcriptome/C_felis/S2/links/cluster/cf-pep95-2-Id-CLU7.txt", 7)</f>
        <v>7</v>
      </c>
      <c r="CL53" s="2">
        <f>HYPERLINK("http://exon.niaid.nih.gov/transcriptome/C_felis/S2/links/cluster/cf-pep95-2-Id-CLTL7.txt", 3)</f>
        <v>3</v>
      </c>
      <c r="CM53" s="7">
        <f>HYPERLINK("http://exon.niaid.nih.gov/transcriptome/C_felis/S2/links/cluster/cf-pep100-3-Id-CLU7.txt", 7)</f>
        <v>7</v>
      </c>
      <c r="CN53" s="2">
        <f>HYPERLINK("http://exon.niaid.nih.gov/transcriptome/C_felis/S2/links/cluster/cf-pep100-3-Id-CLTL7.txt", 3)</f>
        <v>3</v>
      </c>
      <c r="CO53" s="7">
        <f>HYPERLINK("http://exon.niaid.nih.gov/transcriptome/C_felis/S2/links/cluster/cf-pep100-4-Id-CLU7.txt", 7)</f>
        <v>7</v>
      </c>
      <c r="CP53" s="2">
        <f>HYPERLINK("http://exon.niaid.nih.gov/transcriptome/C_felis/S2/links/cluster/cf-pep100-4-Id-CLTL7.txt", 3)</f>
        <v>3</v>
      </c>
      <c r="CQ53" s="7">
        <f>HYPERLINK("http://exon.niaid.nih.gov/transcriptome/C_felis/S2/links/cluster/cf-pep25-50-Sim-CLU7.txt", 7)</f>
        <v>7</v>
      </c>
      <c r="CR53" s="2">
        <f>HYPERLINK("http://exon.niaid.nih.gov/transcriptome/C_felis/S2/links/cluster/cf-pep25-50-Sim-CLTL7.txt", 3)</f>
        <v>3</v>
      </c>
      <c r="CS53" s="7">
        <f>HYPERLINK("http://exon.niaid.nih.gov/transcriptome/C_felis/S2/links/cluster/cf-pep30-50-Sim-CLU8.txt", 8)</f>
        <v>8</v>
      </c>
      <c r="CT53" s="2">
        <f>HYPERLINK("http://exon.niaid.nih.gov/transcriptome/C_felis/S2/links/cluster/cf-pep30-50-Sim-CLTL8.txt", 3)</f>
        <v>3</v>
      </c>
      <c r="CU53" s="7">
        <f>HYPERLINK("http://exon.niaid.nih.gov/transcriptome/C_felis/S2/links/cluster/cf-pep35-50-Sim-CLU8.txt", 8)</f>
        <v>8</v>
      </c>
      <c r="CV53" s="2">
        <f>HYPERLINK("http://exon.niaid.nih.gov/transcriptome/C_felis/S2/links/cluster/cf-pep35-50-Sim-CLTL8.txt", 3)</f>
        <v>3</v>
      </c>
      <c r="CW53" s="7">
        <f>HYPERLINK("http://exon.niaid.nih.gov/transcriptome/C_felis/S2/links/cluster/cf-pep40-50-Sim-CLU7.txt", 7)</f>
        <v>7</v>
      </c>
      <c r="CX53" s="2">
        <f>HYPERLINK("http://exon.niaid.nih.gov/transcriptome/C_felis/S2/links/cluster/cf-pep40-50-Sim-CLTL7.txt", 3)</f>
        <v>3</v>
      </c>
      <c r="CY53" s="7">
        <f>HYPERLINK("http://exon.niaid.nih.gov/transcriptome/C_felis/S2/links/cluster/cf-pep45-50-Sim-CLU7.txt", 7)</f>
        <v>7</v>
      </c>
      <c r="CZ53" s="2">
        <f>HYPERLINK("http://exon.niaid.nih.gov/transcriptome/C_felis/S2/links/cluster/cf-pep45-50-Sim-CLTL7.txt", 3)</f>
        <v>3</v>
      </c>
      <c r="DA53" s="7">
        <f>HYPERLINK("http://exon.niaid.nih.gov/transcriptome/C_felis/S2/links/cluster/cf-pep50-50-Sim-CLU7.txt", 7)</f>
        <v>7</v>
      </c>
      <c r="DB53" s="2">
        <f>HYPERLINK("http://exon.niaid.nih.gov/transcriptome/C_felis/S2/links/cluster/cf-pep50-50-Sim-CLTL7.txt", 3)</f>
        <v>3</v>
      </c>
      <c r="DC53" s="7">
        <f>HYPERLINK("http://exon.niaid.nih.gov/transcriptome/C_felis/S2/links/cluster/cf-pep55-50-Sim-CLU7.txt", 7)</f>
        <v>7</v>
      </c>
      <c r="DD53" s="2">
        <f>HYPERLINK("http://exon.niaid.nih.gov/transcriptome/C_felis/S2/links/cluster/cf-pep55-50-Sim-CLTL7.txt", 3)</f>
        <v>3</v>
      </c>
      <c r="DE53" s="7">
        <f>HYPERLINK("http://exon.niaid.nih.gov/transcriptome/C_felis/S2/links/cluster/cf-pep60-50-Sim-CLU5.txt", 5)</f>
        <v>5</v>
      </c>
      <c r="DF53" s="2">
        <f>HYPERLINK("http://exon.niaid.nih.gov/transcriptome/C_felis/S2/links/cluster/cf-pep60-50-Sim-CLTL5.txt", 3)</f>
        <v>3</v>
      </c>
      <c r="DG53" s="7">
        <f>HYPERLINK("http://exon.niaid.nih.gov/transcriptome/C_felis/S2/links/cluster/cf-pep65-50-Sim-CLU5.txt", 5)</f>
        <v>5</v>
      </c>
      <c r="DH53" s="2">
        <f>HYPERLINK("http://exon.niaid.nih.gov/transcriptome/C_felis/S2/links/cluster/cf-pep65-50-Sim-CLTL5.txt", 3)</f>
        <v>3</v>
      </c>
      <c r="DI53" s="7">
        <f>HYPERLINK("http://exon.niaid.nih.gov/transcriptome/C_felis/S2/links/cluster/cf-pep70-50-Sim-CLU6.txt", 6)</f>
        <v>6</v>
      </c>
      <c r="DJ53" s="2">
        <f>HYPERLINK("http://exon.niaid.nih.gov/transcriptome/C_felis/S2/links/cluster/cf-pep70-50-Sim-CLTL6.txt", 3)</f>
        <v>3</v>
      </c>
      <c r="DK53" s="7">
        <f>HYPERLINK("http://exon.niaid.nih.gov/transcriptome/C_felis/S2/links/cluster/cf-pep75-50-Sim-CLU6.txt", 6)</f>
        <v>6</v>
      </c>
      <c r="DL53" s="2">
        <f>HYPERLINK("http://exon.niaid.nih.gov/transcriptome/C_felis/S2/links/cluster/cf-pep75-50-Sim-CLTL6.txt", 3)</f>
        <v>3</v>
      </c>
      <c r="DM53" s="7">
        <f>HYPERLINK("http://exon.niaid.nih.gov/transcriptome/C_felis/S2/links/cluster/cf-pep80-50-Sim-CLU5.txt", 5)</f>
        <v>5</v>
      </c>
      <c r="DN53" s="2">
        <f>HYPERLINK("http://exon.niaid.nih.gov/transcriptome/C_felis/S2/links/cluster/cf-pep80-50-Sim-CLTL5.txt", 3)</f>
        <v>3</v>
      </c>
      <c r="DO53" s="7">
        <f>HYPERLINK("http://exon.niaid.nih.gov/transcriptome/C_felis/S2/links/cluster/cf-pep85-50-Sim-CLU4.txt", 4)</f>
        <v>4</v>
      </c>
      <c r="DP53" s="2">
        <f>HYPERLINK("http://exon.niaid.nih.gov/transcriptome/C_felis/S2/links/cluster/cf-pep85-50-Sim-CLTL4.txt", 3)</f>
        <v>3</v>
      </c>
      <c r="DQ53" s="7">
        <f>HYPERLINK("http://exon.niaid.nih.gov/transcriptome/C_felis/S2/links/cluster/cf-pep90-50-Sim-CLU3.txt", 3)</f>
        <v>3</v>
      </c>
      <c r="DR53" s="2">
        <f>HYPERLINK("http://exon.niaid.nih.gov/transcriptome/C_felis/S2/links/cluster/cf-pep90-50-Sim-CLTL3.txt", 3)</f>
        <v>3</v>
      </c>
      <c r="DS53" s="7">
        <v>39</v>
      </c>
      <c r="DT53" s="2">
        <v>1</v>
      </c>
    </row>
    <row r="54" spans="1:124" x14ac:dyDescent="0.2">
      <c r="A54" t="str">
        <f>HYPERLINK("http://exon.niaid.nih.gov/transcriptome/C_felis/S2/links/pep/Cf-74-pep.txt","Cf-74")</f>
        <v>Cf-74</v>
      </c>
      <c r="B54" s="2">
        <v>1</v>
      </c>
      <c r="C54">
        <v>113</v>
      </c>
      <c r="D54" t="str">
        <f>HYPERLINK("http://exon.niaid.nih.gov/transcriptome/C_felis/S2/links/cds/Cf-74-cds.txt","Cf-74")</f>
        <v>Cf-74</v>
      </c>
      <c r="E54">
        <v>342</v>
      </c>
      <c r="F54" t="s">
        <v>514</v>
      </c>
      <c r="G54">
        <v>0</v>
      </c>
      <c r="I54" s="2" t="s">
        <v>10</v>
      </c>
      <c r="J54" s="2" t="s">
        <v>3</v>
      </c>
      <c r="K54" s="20" t="str">
        <f>HYPERLINK("http://exon.niaid.nih.gov/transcriptome/C_felis/S2/links/Sigp/Cf-74-SigP.txt","CYT")</f>
        <v>CYT</v>
      </c>
      <c r="L54" s="2" t="s">
        <v>7</v>
      </c>
      <c r="M54" s="2">
        <v>11.26</v>
      </c>
      <c r="N54" s="2">
        <v>4.29</v>
      </c>
      <c r="O54" s="2" t="s">
        <v>7</v>
      </c>
      <c r="P54" s="2" t="s">
        <v>7</v>
      </c>
      <c r="Q54" s="24" t="s">
        <v>577</v>
      </c>
      <c r="R54" s="20">
        <v>0</v>
      </c>
      <c r="S54" s="2" t="s">
        <v>7</v>
      </c>
      <c r="T54" s="2" t="s">
        <v>7</v>
      </c>
      <c r="U54" s="2" t="s">
        <v>7</v>
      </c>
      <c r="V54" s="2" t="s">
        <v>7</v>
      </c>
      <c r="W54" s="2" t="s">
        <v>7</v>
      </c>
      <c r="X54" s="20" t="str">
        <f>HYPERLINK("http://exon.niaid.nih.gov/transcriptome/C_felis/S2/links/netoglyc/CF-74-netoglyc.txt","0")</f>
        <v>0</v>
      </c>
      <c r="Y54" s="2">
        <v>8</v>
      </c>
      <c r="Z54" s="2">
        <v>11.5</v>
      </c>
      <c r="AA54" s="2">
        <v>7.1</v>
      </c>
      <c r="AB54" t="s">
        <v>437</v>
      </c>
      <c r="AC54" t="s">
        <v>438</v>
      </c>
      <c r="AD54" t="s">
        <v>514</v>
      </c>
      <c r="AE54" s="2">
        <v>1</v>
      </c>
      <c r="AF54" s="4" t="str">
        <f>HYPERLINK("http://exon.niaid.nih.gov/transcriptome/C_felis/S2/links/NR/Cf-74-NR.txt","60S acidic ribosomal protein P1")</f>
        <v>60S acidic ribosomal protein P1</v>
      </c>
      <c r="AG54" t="str">
        <f>HYPERLINK("http://www.ncbi.nlm.nih.gov/sutils/blink.cgi?pid=121511986","5E-051")</f>
        <v>5E-051</v>
      </c>
      <c r="AH54" t="str">
        <f>HYPERLINK("http://www.ncbi.nlm.nih.gov/protein/121511986","gi|121511986")</f>
        <v>gi|121511986</v>
      </c>
      <c r="AI54">
        <v>204</v>
      </c>
      <c r="AJ54">
        <v>109</v>
      </c>
      <c r="AK54">
        <v>113</v>
      </c>
      <c r="AL54">
        <v>96</v>
      </c>
      <c r="AM54">
        <v>97</v>
      </c>
      <c r="AN54" t="s">
        <v>63</v>
      </c>
      <c r="AO54" s="4" t="str">
        <f>HYPERLINK("http://exon.niaid.nih.gov/transcriptome/C_felis/S2/links/SWISSP/Cf-74-SWISSP.txt","60S acidic ribosomal protein P1")</f>
        <v>60S acidic ribosomal protein P1</v>
      </c>
      <c r="AP54" t="str">
        <f>HYPERLINK("http://www.uniprot.org/uniprot/P08570","9E-043")</f>
        <v>9E-043</v>
      </c>
      <c r="AQ54" t="s">
        <v>391</v>
      </c>
      <c r="AR54">
        <v>171</v>
      </c>
      <c r="AS54">
        <v>108</v>
      </c>
      <c r="AT54">
        <v>112</v>
      </c>
      <c r="AU54">
        <v>77</v>
      </c>
      <c r="AV54">
        <v>97</v>
      </c>
      <c r="AW54" t="s">
        <v>52</v>
      </c>
      <c r="AX54" s="4" t="s">
        <v>392</v>
      </c>
      <c r="AY54">
        <f>HYPERLINK("http://exon.niaid.nih.gov/transcriptome/C_felis/S2/links/GO/Cf-74-GO.txt",6E-43)</f>
        <v>6.0000000000000001E-43</v>
      </c>
      <c r="AZ54" t="str">
        <f t="shared" si="26"/>
        <v>GO:0003735</v>
      </c>
      <c r="BA54" t="s">
        <v>53</v>
      </c>
      <c r="BB54" t="s">
        <v>54</v>
      </c>
      <c r="BC54" t="s">
        <v>55</v>
      </c>
      <c r="BD54" t="s">
        <v>7</v>
      </c>
      <c r="BF54" s="5">
        <v>6.0000000000000001E-43</v>
      </c>
      <c r="BG54" t="str">
        <f>HYPERLINK("http://amigo.geneontology.org/cgi-bin/amigo/term_details?term=GO:0022625","GO:0022625")</f>
        <v>GO:0022625</v>
      </c>
      <c r="BH54" t="s">
        <v>56</v>
      </c>
      <c r="BI54" t="s">
        <v>57</v>
      </c>
      <c r="BJ54" t="s">
        <v>58</v>
      </c>
      <c r="BK54" t="s">
        <v>7</v>
      </c>
      <c r="BM54" s="5">
        <v>6.0000000000000001E-43</v>
      </c>
      <c r="BN54" t="str">
        <f t="shared" si="27"/>
        <v>GO:0006412</v>
      </c>
      <c r="BO54" t="s">
        <v>59</v>
      </c>
      <c r="BP54" t="s">
        <v>60</v>
      </c>
      <c r="BQ54" t="s">
        <v>61</v>
      </c>
      <c r="BR54" t="s">
        <v>7</v>
      </c>
      <c r="BT54" s="5">
        <v>6.0000000000000001E-43</v>
      </c>
      <c r="BU54" s="4" t="str">
        <f>HYPERLINK("http://exon.niaid.nih.gov/transcriptome/C_felis/S2/links/KOG/Cf-74-KOG.txt","60s acidic ribosomal protein P1")</f>
        <v>60s acidic ribosomal protein P1</v>
      </c>
      <c r="BV54" t="str">
        <f>HYPERLINK("http://www.ncbi.nlm.nih.gov/COG/grace/shokog.cgi?KOG1762","9E-025")</f>
        <v>9E-025</v>
      </c>
      <c r="BW54" t="s">
        <v>62</v>
      </c>
      <c r="BX54" t="str">
        <f>HYPERLINK("http://exon.niaid.nih.gov/transcriptome/C_felis/S2/links/KOG/Cf-74-KOG.txt","KOG1762")</f>
        <v>KOG1762</v>
      </c>
      <c r="BY54" s="4" t="str">
        <f>HYPERLINK("http://exon.niaid.nih.gov/transcriptome/C_felis/S2/links/CDD/Cf-74-CDD.txt","Ribosomal_P1")</f>
        <v>Ribosomal_P1</v>
      </c>
      <c r="BZ54" t="str">
        <f>HYPERLINK("http://www.ncbi.nlm.nih.gov/Structure/cdd/cddsrv.cgi?uid=cd05831&amp;version=v4.0","3E-030")</f>
        <v>3E-030</v>
      </c>
      <c r="CA54" t="s">
        <v>393</v>
      </c>
      <c r="CB54" s="4" t="str">
        <f>HYPERLINK("http://exon.niaid.nih.gov/transcriptome/C_felis/S2/links/PFAM/Cf-74-PFAM.txt","Ribosomal_60s")</f>
        <v>Ribosomal_60s</v>
      </c>
      <c r="CC54" t="str">
        <f>HYPERLINK("http://pfam.sanger.ac.uk/family?acc=PF00428","2E-015")</f>
        <v>2E-015</v>
      </c>
      <c r="CD54" s="4" t="str">
        <f>HYPERLINK("http://exon.niaid.nih.gov/transcriptome/C_felis/S2/links/SMART/Cf-74-SMART.txt","GS")</f>
        <v>GS</v>
      </c>
      <c r="CE54" t="str">
        <f>HYPERLINK("http://smart.embl-heidelberg.de/smart/do_annotation.pl?DOMAIN=GS&amp;BLAST=DUMMY","0.74")</f>
        <v>0.74</v>
      </c>
      <c r="CF54" s="4" t="s">
        <v>7</v>
      </c>
      <c r="CG54" t="s">
        <v>7</v>
      </c>
      <c r="CH54" t="s">
        <v>7</v>
      </c>
      <c r="CI54" t="s">
        <v>7</v>
      </c>
      <c r="CJ54" t="s">
        <v>7</v>
      </c>
      <c r="CK54" s="7">
        <v>154</v>
      </c>
      <c r="CL54" s="2">
        <v>1</v>
      </c>
      <c r="CM54" s="7">
        <v>154</v>
      </c>
      <c r="CN54" s="2">
        <v>1</v>
      </c>
      <c r="CO54" s="7">
        <v>154</v>
      </c>
      <c r="CP54" s="2">
        <v>1</v>
      </c>
      <c r="CQ54" s="7">
        <v>97</v>
      </c>
      <c r="CR54" s="2">
        <v>1</v>
      </c>
      <c r="CS54" s="7">
        <v>124</v>
      </c>
      <c r="CT54" s="2">
        <v>1</v>
      </c>
      <c r="CU54" s="7">
        <v>135</v>
      </c>
      <c r="CV54" s="2">
        <v>1</v>
      </c>
      <c r="CW54" s="7">
        <v>143</v>
      </c>
      <c r="CX54" s="2">
        <v>1</v>
      </c>
      <c r="CY54" s="7">
        <v>148</v>
      </c>
      <c r="CZ54" s="2">
        <v>1</v>
      </c>
      <c r="DA54" s="7">
        <v>157</v>
      </c>
      <c r="DB54" s="2">
        <v>1</v>
      </c>
      <c r="DC54" s="7">
        <v>159</v>
      </c>
      <c r="DD54" s="2">
        <v>1</v>
      </c>
      <c r="DE54" s="7">
        <v>163</v>
      </c>
      <c r="DF54" s="2">
        <v>1</v>
      </c>
      <c r="DG54" s="7">
        <v>168</v>
      </c>
      <c r="DH54" s="2">
        <v>1</v>
      </c>
      <c r="DI54" s="7">
        <v>169</v>
      </c>
      <c r="DJ54" s="2">
        <v>1</v>
      </c>
      <c r="DK54" s="7">
        <v>171</v>
      </c>
      <c r="DL54" s="2">
        <v>1</v>
      </c>
      <c r="DM54" s="7">
        <v>173</v>
      </c>
      <c r="DN54" s="2">
        <v>1</v>
      </c>
      <c r="DO54" s="7">
        <v>177</v>
      </c>
      <c r="DP54" s="2">
        <v>1</v>
      </c>
      <c r="DQ54" s="7">
        <v>179</v>
      </c>
      <c r="DR54" s="2">
        <v>1</v>
      </c>
      <c r="DS54" s="7">
        <v>183</v>
      </c>
      <c r="DT54" s="2">
        <v>1</v>
      </c>
    </row>
    <row r="55" spans="1:124" x14ac:dyDescent="0.2">
      <c r="A55" t="str">
        <f>HYPERLINK("http://exon.niaid.nih.gov/transcriptome/C_felis/S2/links/pep/Cf-396-pep.txt","Cf-396")</f>
        <v>Cf-396</v>
      </c>
      <c r="B55" s="2">
        <v>1</v>
      </c>
      <c r="C55">
        <v>76</v>
      </c>
      <c r="D55" t="str">
        <f>HYPERLINK("http://exon.niaid.nih.gov/transcriptome/C_felis/S2/links/cds/Cf-396-cds.txt","Cf-396")</f>
        <v>Cf-396</v>
      </c>
      <c r="E55">
        <v>231</v>
      </c>
      <c r="F55" t="s">
        <v>503</v>
      </c>
      <c r="G55">
        <v>0</v>
      </c>
      <c r="I55" s="2" t="s">
        <v>5</v>
      </c>
      <c r="J55" s="2" t="s">
        <v>3</v>
      </c>
      <c r="K55" s="20" t="str">
        <f>HYPERLINK("http://exon.niaid.nih.gov/transcriptome/C_felis/S2/links/Sigp/Cf-396-SigP.txt","CYT")</f>
        <v>CYT</v>
      </c>
      <c r="L55" s="2" t="s">
        <v>7</v>
      </c>
      <c r="M55" s="2">
        <v>8.7110000000000003</v>
      </c>
      <c r="N55" s="2">
        <v>11.41</v>
      </c>
      <c r="O55" s="2" t="s">
        <v>7</v>
      </c>
      <c r="P55" s="2" t="s">
        <v>7</v>
      </c>
      <c r="Q55" s="24" t="s">
        <v>556</v>
      </c>
      <c r="R55" s="20">
        <v>0</v>
      </c>
      <c r="S55" s="2" t="s">
        <v>7</v>
      </c>
      <c r="T55" s="2" t="s">
        <v>7</v>
      </c>
      <c r="U55" s="2" t="s">
        <v>7</v>
      </c>
      <c r="V55" s="2" t="s">
        <v>7</v>
      </c>
      <c r="W55" s="2" t="s">
        <v>7</v>
      </c>
      <c r="X55" s="20" t="str">
        <f>HYPERLINK("http://exon.niaid.nih.gov/transcriptome/C_felis/S2/links/netoglyc/CF-396-netoglyc.txt","0")</f>
        <v>0</v>
      </c>
      <c r="Y55" s="2">
        <v>3.9</v>
      </c>
      <c r="Z55" s="2">
        <v>7.9</v>
      </c>
      <c r="AA55" s="2">
        <v>5.3</v>
      </c>
      <c r="AB55" t="s">
        <v>437</v>
      </c>
      <c r="AC55" t="s">
        <v>438</v>
      </c>
      <c r="AD55" t="s">
        <v>503</v>
      </c>
      <c r="AE55" s="2">
        <v>1</v>
      </c>
      <c r="AF55" s="4" t="str">
        <f>HYPERLINK("http://exon.niaid.nih.gov/transcriptome/C_felis/S2/links/NR/Cf-396-NR.txt","ribosomal protein L29")</f>
        <v>ribosomal protein L29</v>
      </c>
      <c r="AG55" t="str">
        <f>HYPERLINK("http://www.ncbi.nlm.nih.gov/sutils/blink.cgi?pid=121512028","2E-022")</f>
        <v>2E-022</v>
      </c>
      <c r="AH55" t="str">
        <f>HYPERLINK("http://www.ncbi.nlm.nih.gov/protein/121512028","gi|121512028")</f>
        <v>gi|121512028</v>
      </c>
      <c r="AI55">
        <v>109</v>
      </c>
      <c r="AJ55">
        <v>57</v>
      </c>
      <c r="AK55">
        <v>71</v>
      </c>
      <c r="AL55">
        <v>89</v>
      </c>
      <c r="AM55">
        <v>82</v>
      </c>
      <c r="AN55" t="s">
        <v>63</v>
      </c>
      <c r="AO55" s="4" t="str">
        <f>HYPERLINK("http://exon.niaid.nih.gov/transcriptome/C_felis/S2/links/SWISSP/Cf-396-SWISSP.txt","60S ribosomal protein L29")</f>
        <v>60S ribosomal protein L29</v>
      </c>
      <c r="AP55" t="str">
        <f>HYPERLINK("http://www.uniprot.org/uniprot/Q24154","4E-010")</f>
        <v>4E-010</v>
      </c>
      <c r="AQ55" t="s">
        <v>327</v>
      </c>
      <c r="AR55">
        <v>63.5</v>
      </c>
      <c r="AS55">
        <v>56</v>
      </c>
      <c r="AT55">
        <v>76</v>
      </c>
      <c r="AU55">
        <v>54</v>
      </c>
      <c r="AV55">
        <v>75</v>
      </c>
      <c r="AW55" t="s">
        <v>52</v>
      </c>
      <c r="AX55" s="4" t="s">
        <v>328</v>
      </c>
      <c r="AY55">
        <f>HYPERLINK("http://exon.niaid.nih.gov/transcriptome/C_felis/S2/links/GO/Cf-396-GO.txt",0.0000000002)</f>
        <v>2.0000000000000001E-10</v>
      </c>
      <c r="AZ55" t="str">
        <f t="shared" si="26"/>
        <v>GO:0003735</v>
      </c>
      <c r="BA55" t="s">
        <v>53</v>
      </c>
      <c r="BB55" t="s">
        <v>54</v>
      </c>
      <c r="BC55" t="s">
        <v>55</v>
      </c>
      <c r="BD55" t="s">
        <v>7</v>
      </c>
      <c r="BF55">
        <v>2.0000000000000001E-10</v>
      </c>
      <c r="BG55" t="str">
        <f>HYPERLINK("http://amigo.geneontology.org/cgi-bin/amigo/term_details?term=GO:0022625","GO:0022625")</f>
        <v>GO:0022625</v>
      </c>
      <c r="BH55" t="s">
        <v>56</v>
      </c>
      <c r="BI55" t="s">
        <v>57</v>
      </c>
      <c r="BJ55" t="s">
        <v>58</v>
      </c>
      <c r="BK55" t="s">
        <v>7</v>
      </c>
      <c r="BM55">
        <v>2.0000000000000001E-10</v>
      </c>
      <c r="BN55" t="str">
        <f t="shared" si="27"/>
        <v>GO:0006412</v>
      </c>
      <c r="BO55" t="s">
        <v>59</v>
      </c>
      <c r="BP55" t="s">
        <v>60</v>
      </c>
      <c r="BQ55" t="s">
        <v>61</v>
      </c>
      <c r="BR55" t="s">
        <v>7</v>
      </c>
      <c r="BT55">
        <v>2.0000000000000001E-10</v>
      </c>
      <c r="BU55" s="4" t="str">
        <f>HYPERLINK("http://exon.niaid.nih.gov/transcriptome/C_felis/S2/links/KOG/Cf-396-KOG.txt","60S ribosomal protein L29")</f>
        <v>60S ribosomal protein L29</v>
      </c>
      <c r="BV55" t="str">
        <f>HYPERLINK("http://www.ncbi.nlm.nih.gov/COG/grace/shokog.cgi?KOG3504","3E-005")</f>
        <v>3E-005</v>
      </c>
      <c r="BW55" t="s">
        <v>62</v>
      </c>
      <c r="BX55" t="str">
        <f>HYPERLINK("http://exon.niaid.nih.gov/transcriptome/C_felis/S2/links/KOG/Cf-396-KOG.txt","KOG3504")</f>
        <v>KOG3504</v>
      </c>
      <c r="BY55" s="4" t="str">
        <f>HYPERLINK("http://exon.niaid.nih.gov/transcriptome/C_felis/S2/links/CDD/Cf-396-CDD.txt","Ribosomal_L29e")</f>
        <v>Ribosomal_L29e</v>
      </c>
      <c r="BZ55" t="str">
        <f>HYPERLINK("http://www.ncbi.nlm.nih.gov/Structure/cdd/cddsrv.cgi?uid=pfam01779&amp;version=v4.0","0.002")</f>
        <v>0.002</v>
      </c>
      <c r="CA55" t="s">
        <v>329</v>
      </c>
      <c r="CB55" s="4" t="str">
        <f>HYPERLINK("http://exon.niaid.nih.gov/transcriptome/C_felis/S2/links/PFAM/Cf-396-PFAM.txt","Ribosomal_L29e")</f>
        <v>Ribosomal_L29e</v>
      </c>
      <c r="CC55" t="str">
        <f>HYPERLINK("http://pfam.sanger.ac.uk/family?acc=PF01779","4E-004")</f>
        <v>4E-004</v>
      </c>
      <c r="CD55" s="4" t="str">
        <f>HYPERLINK("http://exon.niaid.nih.gov/transcriptome/C_felis/S2/links/SMART/Cf-396-SMART.txt","SNc")</f>
        <v>SNc</v>
      </c>
      <c r="CE55" t="str">
        <f>HYPERLINK("http://smart.embl-heidelberg.de/smart/do_annotation.pl?DOMAIN=SNc&amp;BLAST=DUMMY","2.0")</f>
        <v>2.0</v>
      </c>
      <c r="CF55" s="4" t="s">
        <v>7</v>
      </c>
      <c r="CG55" t="s">
        <v>7</v>
      </c>
      <c r="CH55" t="s">
        <v>7</v>
      </c>
      <c r="CI55" t="s">
        <v>7</v>
      </c>
      <c r="CJ55" t="s">
        <v>7</v>
      </c>
      <c r="CK55" s="7">
        <v>94</v>
      </c>
      <c r="CL55" s="2">
        <v>1</v>
      </c>
      <c r="CM55" s="7">
        <v>94</v>
      </c>
      <c r="CN55" s="2">
        <v>1</v>
      </c>
      <c r="CO55" s="7">
        <v>94</v>
      </c>
      <c r="CP55" s="2">
        <v>1</v>
      </c>
      <c r="CQ55" s="7">
        <f>HYPERLINK("http://exon.niaid.nih.gov/transcriptome/C_felis/S2/links/cluster/cf-pep25-50-Sim-CLU2.txt", 2)</f>
        <v>2</v>
      </c>
      <c r="CR55" s="2">
        <f>HYPERLINK("http://exon.niaid.nih.gov/transcriptome/C_felis/S2/links/cluster/cf-pep25-50-Sim-CLTL2.txt", 34)</f>
        <v>34</v>
      </c>
      <c r="CS55" s="7">
        <f>HYPERLINK("http://exon.niaid.nih.gov/transcriptome/C_felis/S2/links/cluster/cf-pep30-50-Sim-CLU6.txt", 6)</f>
        <v>6</v>
      </c>
      <c r="CT55" s="2">
        <f>HYPERLINK("http://exon.niaid.nih.gov/transcriptome/C_felis/S2/links/cluster/cf-pep30-50-Sim-CLTL6.txt", 5)</f>
        <v>5</v>
      </c>
      <c r="CU55" s="7">
        <f>HYPERLINK("http://exon.niaid.nih.gov/transcriptome/C_felis/S2/links/cluster/cf-pep35-50-Sim-CLU7.txt", 7)</f>
        <v>7</v>
      </c>
      <c r="CV55" s="2">
        <f>HYPERLINK("http://exon.niaid.nih.gov/transcriptome/C_felis/S2/links/cluster/cf-pep35-50-Sim-CLTL7.txt", 3)</f>
        <v>3</v>
      </c>
      <c r="CW55" s="7">
        <v>91</v>
      </c>
      <c r="CX55" s="2">
        <v>1</v>
      </c>
      <c r="CY55" s="7">
        <v>95</v>
      </c>
      <c r="CZ55" s="2">
        <v>1</v>
      </c>
      <c r="DA55" s="7">
        <v>97</v>
      </c>
      <c r="DB55" s="2">
        <v>1</v>
      </c>
      <c r="DC55" s="7">
        <v>98</v>
      </c>
      <c r="DD55" s="2">
        <v>1</v>
      </c>
      <c r="DE55" s="7">
        <v>98</v>
      </c>
      <c r="DF55" s="2">
        <v>1</v>
      </c>
      <c r="DG55" s="7">
        <v>100</v>
      </c>
      <c r="DH55" s="2">
        <v>1</v>
      </c>
      <c r="DI55" s="7">
        <v>101</v>
      </c>
      <c r="DJ55" s="2">
        <v>1</v>
      </c>
      <c r="DK55" s="7">
        <v>101</v>
      </c>
      <c r="DL55" s="2">
        <v>1</v>
      </c>
      <c r="DM55" s="7">
        <v>103</v>
      </c>
      <c r="DN55" s="2">
        <v>1</v>
      </c>
      <c r="DO55" s="7">
        <v>104</v>
      </c>
      <c r="DP55" s="2">
        <v>1</v>
      </c>
      <c r="DQ55" s="7">
        <v>104</v>
      </c>
      <c r="DR55" s="2">
        <v>1</v>
      </c>
      <c r="DS55" s="7">
        <v>105</v>
      </c>
      <c r="DT55" s="2">
        <v>1</v>
      </c>
    </row>
    <row r="56" spans="1:124" x14ac:dyDescent="0.2">
      <c r="A56" t="str">
        <f>HYPERLINK("http://exon.niaid.nih.gov/transcriptome/C_felis/S2/links/pep/Cf-168-pep.txt","Cf-168")</f>
        <v>Cf-168</v>
      </c>
      <c r="B56" s="2">
        <v>1</v>
      </c>
      <c r="C56">
        <v>118</v>
      </c>
      <c r="D56" t="str">
        <f>HYPERLINK("http://exon.niaid.nih.gov/transcriptome/C_felis/S2/links/cds/Cf-168-cds.txt","Cf-168")</f>
        <v>Cf-168</v>
      </c>
      <c r="E56">
        <v>357</v>
      </c>
      <c r="F56" t="s">
        <v>476</v>
      </c>
      <c r="G56">
        <v>0</v>
      </c>
      <c r="I56" s="2" t="s">
        <v>5</v>
      </c>
      <c r="J56" s="2" t="s">
        <v>3</v>
      </c>
      <c r="K56" s="20" t="str">
        <f>HYPERLINK("http://exon.niaid.nih.gov/transcriptome/C_felis/S2/links/Sigp/Cf-168-SigP.txt","CYT")</f>
        <v>CYT</v>
      </c>
      <c r="L56" s="2" t="s">
        <v>7</v>
      </c>
      <c r="M56" s="2">
        <v>13.343999999999999</v>
      </c>
      <c r="N56" s="2">
        <v>9.99</v>
      </c>
      <c r="O56" s="2" t="s">
        <v>7</v>
      </c>
      <c r="P56" s="2" t="s">
        <v>7</v>
      </c>
      <c r="Q56" s="24" t="s">
        <v>548</v>
      </c>
      <c r="R56" s="20">
        <v>0</v>
      </c>
      <c r="S56" s="2" t="s">
        <v>7</v>
      </c>
      <c r="T56" s="2" t="s">
        <v>7</v>
      </c>
      <c r="U56" s="2" t="s">
        <v>7</v>
      </c>
      <c r="V56" s="2" t="s">
        <v>7</v>
      </c>
      <c r="W56" s="2" t="s">
        <v>7</v>
      </c>
      <c r="X56" s="20" t="str">
        <f>HYPERLINK("http://exon.niaid.nih.gov/transcriptome/C_felis/S2/links/netoglyc/CF-168-netoglyc.txt","0")</f>
        <v>0</v>
      </c>
      <c r="Y56" s="2">
        <v>7.6</v>
      </c>
      <c r="Z56" s="2">
        <v>11</v>
      </c>
      <c r="AA56" s="2">
        <v>3.4</v>
      </c>
      <c r="AB56" t="s">
        <v>437</v>
      </c>
      <c r="AC56" t="s">
        <v>438</v>
      </c>
      <c r="AD56" t="s">
        <v>476</v>
      </c>
      <c r="AE56" s="2">
        <v>1</v>
      </c>
      <c r="AF56" s="4" t="str">
        <f>HYPERLINK("http://exon.niaid.nih.gov/transcriptome/C_felis/S2/links/NR/Cf-168-NR.txt","ribosomal protein S27")</f>
        <v>ribosomal protein S27</v>
      </c>
      <c r="AG56" t="str">
        <f>HYPERLINK("http://www.ncbi.nlm.nih.gov/sutils/blink.cgi?pid=121511932","3E-060")</f>
        <v>3E-060</v>
      </c>
      <c r="AH56" t="str">
        <f>HYPERLINK("http://www.ncbi.nlm.nih.gov/protein/121511932","gi|121511932")</f>
        <v>gi|121511932</v>
      </c>
      <c r="AI56">
        <v>234</v>
      </c>
      <c r="AJ56">
        <v>115</v>
      </c>
      <c r="AK56">
        <v>155</v>
      </c>
      <c r="AL56">
        <v>97</v>
      </c>
      <c r="AM56">
        <v>75</v>
      </c>
      <c r="AN56" t="s">
        <v>63</v>
      </c>
      <c r="AO56" s="4" t="str">
        <f>HYPERLINK("http://exon.niaid.nih.gov/transcriptome/C_felis/S2/links/SWISSP/Cf-168-SWISSP.txt","Ubiquitin-40S ribosomal protein S27a")</f>
        <v>Ubiquitin-40S ribosomal protein S27a</v>
      </c>
      <c r="AP56" t="str">
        <f>HYPERLINK("http://www.uniprot.org/uniprot/P15357","6E-055")</f>
        <v>6E-055</v>
      </c>
      <c r="AQ56" t="s">
        <v>217</v>
      </c>
      <c r="AR56">
        <v>212</v>
      </c>
      <c r="AS56">
        <v>115</v>
      </c>
      <c r="AT56">
        <v>156</v>
      </c>
      <c r="AU56">
        <v>88</v>
      </c>
      <c r="AV56">
        <v>74</v>
      </c>
      <c r="AW56" t="s">
        <v>52</v>
      </c>
      <c r="AX56" s="4" t="s">
        <v>218</v>
      </c>
      <c r="AY56">
        <f>HYPERLINK("http://exon.niaid.nih.gov/transcriptome/C_felis/S2/links/GO/Cf-168-GO.txt",2E-50)</f>
        <v>2E-50</v>
      </c>
      <c r="AZ56" t="str">
        <f t="shared" si="26"/>
        <v>GO:0003735</v>
      </c>
      <c r="BA56" t="s">
        <v>53</v>
      </c>
      <c r="BB56" t="s">
        <v>54</v>
      </c>
      <c r="BC56" t="s">
        <v>55</v>
      </c>
      <c r="BD56" t="s">
        <v>7</v>
      </c>
      <c r="BF56" s="5">
        <v>2E-50</v>
      </c>
      <c r="BG56" t="str">
        <f>HYPERLINK("http://amigo.geneontology.org/cgi-bin/amigo/term_details?term=GO:0005622","GO:0005622")</f>
        <v>GO:0005622</v>
      </c>
      <c r="BH56" t="s">
        <v>128</v>
      </c>
      <c r="BI56" t="s">
        <v>129</v>
      </c>
      <c r="BJ56" t="s">
        <v>130</v>
      </c>
      <c r="BK56" t="s">
        <v>7</v>
      </c>
      <c r="BM56" s="5">
        <v>2E-50</v>
      </c>
      <c r="BN56" t="str">
        <f>HYPERLINK("http://amigo.geneontology.org/cgi-bin/amigo/term_details?term=GO:0002218","GO:0002218")</f>
        <v>GO:0002218</v>
      </c>
      <c r="BO56" t="s">
        <v>219</v>
      </c>
      <c r="BP56" t="s">
        <v>220</v>
      </c>
      <c r="BQ56" t="s">
        <v>7</v>
      </c>
      <c r="BR56" t="s">
        <v>7</v>
      </c>
      <c r="BT56" s="5">
        <v>2E-50</v>
      </c>
      <c r="BU56" s="4" t="str">
        <f>HYPERLINK("http://exon.niaid.nih.gov/transcriptome/C_felis/S2/links/KOG/Cf-168-KOG.txt","Ubiquitin/40S ribosomal protein S27a fusion")</f>
        <v>Ubiquitin/40S ribosomal protein S27a fusion</v>
      </c>
      <c r="BV56" t="str">
        <f>HYPERLINK("http://www.ncbi.nlm.nih.gov/COG/grace/shokog.cgi?KOG0004","5E-040")</f>
        <v>5E-040</v>
      </c>
      <c r="BW56" t="s">
        <v>62</v>
      </c>
      <c r="BX56" t="str">
        <f>HYPERLINK("http://exon.niaid.nih.gov/transcriptome/C_felis/S2/links/KOG/Cf-168-KOG.txt","KOG0004")</f>
        <v>KOG0004</v>
      </c>
      <c r="BY56" s="4" t="str">
        <f>HYPERLINK("http://exon.niaid.nih.gov/transcriptome/C_felis/S2/links/CDD/Cf-168-CDD.txt","Ribosomal_S27")</f>
        <v>Ribosomal_S27</v>
      </c>
      <c r="BZ56" t="str">
        <f>HYPERLINK("http://www.ncbi.nlm.nih.gov/Structure/cdd/cddsrv.cgi?uid=pfam01599&amp;version=v4.0","1E-016")</f>
        <v>1E-016</v>
      </c>
      <c r="CA56" t="s">
        <v>221</v>
      </c>
      <c r="CB56" s="4" t="str">
        <f>HYPERLINK("http://exon.niaid.nih.gov/transcriptome/C_felis/S2/links/PFAM/Cf-168-PFAM.txt","Ribosomal_S27")</f>
        <v>Ribosomal_S27</v>
      </c>
      <c r="CC56" t="str">
        <f>HYPERLINK("http://pfam.sanger.ac.uk/family?acc=PF01599","2E-017")</f>
        <v>2E-017</v>
      </c>
      <c r="CD56" s="4" t="str">
        <f>HYPERLINK("http://exon.niaid.nih.gov/transcriptome/C_felis/S2/links/SMART/Cf-168-SMART.txt","UBQ")</f>
        <v>UBQ</v>
      </c>
      <c r="CE56" t="str">
        <f>HYPERLINK("http://smart.embl-heidelberg.de/smart/do_annotation.pl?DOMAIN=UBQ&amp;BLAST=DUMMY","1E-011")</f>
        <v>1E-011</v>
      </c>
      <c r="CF56" s="4" t="s">
        <v>7</v>
      </c>
      <c r="CG56" t="s">
        <v>7</v>
      </c>
      <c r="CH56" t="s">
        <v>7</v>
      </c>
      <c r="CI56" t="s">
        <v>7</v>
      </c>
      <c r="CJ56" t="s">
        <v>7</v>
      </c>
      <c r="CK56" s="7">
        <f>HYPERLINK("http://exon.niaid.nih.gov/transcriptome/C_felis/S2/links/cluster/cf-pep95-2-Id-CLU12.txt", 12)</f>
        <v>12</v>
      </c>
      <c r="CL56" s="2">
        <f>HYPERLINK("http://exon.niaid.nih.gov/transcriptome/C_felis/S2/links/cluster/cf-pep95-2-Id-CLTL12.txt", 2)</f>
        <v>2</v>
      </c>
      <c r="CM56" s="7">
        <f>HYPERLINK("http://exon.niaid.nih.gov/transcriptome/C_felis/S2/links/cluster/cf-pep100-3-Id-CLU12.txt", 12)</f>
        <v>12</v>
      </c>
      <c r="CN56" s="2">
        <f>HYPERLINK("http://exon.niaid.nih.gov/transcriptome/C_felis/S2/links/cluster/cf-pep100-3-Id-CLTL12.txt", 2)</f>
        <v>2</v>
      </c>
      <c r="CO56" s="7">
        <f>HYPERLINK("http://exon.niaid.nih.gov/transcriptome/C_felis/S2/links/cluster/cf-pep100-4-Id-CLU12.txt", 12)</f>
        <v>12</v>
      </c>
      <c r="CP56" s="2">
        <f>HYPERLINK("http://exon.niaid.nih.gov/transcriptome/C_felis/S2/links/cluster/cf-pep100-4-Id-CLTL12.txt", 2)</f>
        <v>2</v>
      </c>
      <c r="CQ56" s="7">
        <f>HYPERLINK("http://exon.niaid.nih.gov/transcriptome/C_felis/S2/links/cluster/cf-pep25-50-Sim-CLU13.txt", 13)</f>
        <v>13</v>
      </c>
      <c r="CR56" s="2">
        <f>HYPERLINK("http://exon.niaid.nih.gov/transcriptome/C_felis/S2/links/cluster/cf-pep25-50-Sim-CLTL13.txt", 2)</f>
        <v>2</v>
      </c>
      <c r="CS56" s="7">
        <v>33</v>
      </c>
      <c r="CT56" s="2">
        <v>1</v>
      </c>
      <c r="CU56" s="7">
        <v>38</v>
      </c>
      <c r="CV56" s="2">
        <v>1</v>
      </c>
      <c r="CW56" s="7">
        <v>37</v>
      </c>
      <c r="CX56" s="2">
        <v>1</v>
      </c>
      <c r="CY56" s="7">
        <v>38</v>
      </c>
      <c r="CZ56" s="2">
        <v>1</v>
      </c>
      <c r="DA56" s="7">
        <v>38</v>
      </c>
      <c r="DB56" s="2">
        <v>1</v>
      </c>
      <c r="DC56" s="7">
        <v>37</v>
      </c>
      <c r="DD56" s="2">
        <v>1</v>
      </c>
      <c r="DE56" s="7">
        <v>36</v>
      </c>
      <c r="DF56" s="2">
        <v>1</v>
      </c>
      <c r="DG56" s="7">
        <v>36</v>
      </c>
      <c r="DH56" s="2">
        <v>1</v>
      </c>
      <c r="DI56" s="7">
        <v>37</v>
      </c>
      <c r="DJ56" s="2">
        <v>1</v>
      </c>
      <c r="DK56" s="7">
        <v>37</v>
      </c>
      <c r="DL56" s="2">
        <v>1</v>
      </c>
      <c r="DM56" s="7">
        <v>39</v>
      </c>
      <c r="DN56" s="2">
        <v>1</v>
      </c>
      <c r="DO56" s="7">
        <v>37</v>
      </c>
      <c r="DP56" s="2">
        <v>1</v>
      </c>
      <c r="DQ56" s="7">
        <v>37</v>
      </c>
      <c r="DR56" s="2">
        <v>1</v>
      </c>
      <c r="DS56" s="7">
        <v>36</v>
      </c>
      <c r="DT56" s="2">
        <v>1</v>
      </c>
    </row>
    <row r="57" spans="1:124" x14ac:dyDescent="0.2">
      <c r="A57" t="str">
        <f>HYPERLINK("http://exon.niaid.nih.gov/transcriptome/C_felis/S2/links/pep/Cf-109-pep.txt","Cf-109")</f>
        <v>Cf-109</v>
      </c>
      <c r="B57" s="2">
        <v>7</v>
      </c>
      <c r="C57">
        <v>161</v>
      </c>
      <c r="D57" t="str">
        <f>HYPERLINK("http://exon.niaid.nih.gov/transcriptome/C_felis/S2/links/cds/Cf-109-cds.txt","Cf-109")</f>
        <v>Cf-109</v>
      </c>
      <c r="E57">
        <v>486</v>
      </c>
      <c r="F57" t="s">
        <v>460</v>
      </c>
      <c r="G57">
        <v>0</v>
      </c>
      <c r="I57" s="2" t="s">
        <v>9</v>
      </c>
      <c r="J57" s="2" t="s">
        <v>3</v>
      </c>
      <c r="K57" s="20" t="str">
        <f>HYPERLINK("http://exon.niaid.nih.gov/transcriptome/C_felis/S2/links/Sigp/Cf-109-SigP.txt","CYT")</f>
        <v>CYT</v>
      </c>
      <c r="L57" s="2" t="s">
        <v>7</v>
      </c>
      <c r="M57" s="2">
        <v>18.218</v>
      </c>
      <c r="N57" s="2">
        <v>11.3</v>
      </c>
      <c r="O57" s="2" t="s">
        <v>7</v>
      </c>
      <c r="P57" s="2" t="s">
        <v>7</v>
      </c>
      <c r="Q57" s="24" t="s">
        <v>556</v>
      </c>
      <c r="R57" s="20">
        <v>0</v>
      </c>
      <c r="S57" s="2" t="s">
        <v>7</v>
      </c>
      <c r="T57" s="2" t="s">
        <v>7</v>
      </c>
      <c r="U57" s="2" t="s">
        <v>7</v>
      </c>
      <c r="V57" s="2" t="s">
        <v>7</v>
      </c>
      <c r="W57" s="2" t="s">
        <v>7</v>
      </c>
      <c r="X57" s="20" t="str">
        <f>HYPERLINK("http://exon.niaid.nih.gov/transcriptome/C_felis/S2/links/netoglyc/CF-109-netoglyc.txt","0")</f>
        <v>0</v>
      </c>
      <c r="Y57" s="2">
        <v>9.3000000000000007</v>
      </c>
      <c r="Z57" s="2">
        <v>7.5</v>
      </c>
      <c r="AA57" s="2">
        <v>3.7</v>
      </c>
      <c r="AB57" t="s">
        <v>437</v>
      </c>
      <c r="AC57" t="s">
        <v>438</v>
      </c>
      <c r="AD57" t="s">
        <v>460</v>
      </c>
      <c r="AE57" s="2">
        <v>7</v>
      </c>
      <c r="AF57" s="4" t="str">
        <f>HYPERLINK("http://exon.niaid.nih.gov/transcriptome/C_felis/S2/links/NR/Cf-109-NR.txt","similar to ribosomal protein L14")</f>
        <v>similar to ribosomal protein L14</v>
      </c>
      <c r="AG57" t="str">
        <f>HYPERLINK("http://www.ncbi.nlm.nih.gov/sutils/blink.cgi?pid=91079965","1E-062")</f>
        <v>1E-062</v>
      </c>
      <c r="AH57" t="str">
        <f>HYPERLINK("http://www.ncbi.nlm.nih.gov/protein/91079965","gi|91079965")</f>
        <v>gi|91079965</v>
      </c>
      <c r="AI57">
        <v>242</v>
      </c>
      <c r="AJ57">
        <v>156</v>
      </c>
      <c r="AK57">
        <v>167</v>
      </c>
      <c r="AL57">
        <v>71</v>
      </c>
      <c r="AM57">
        <v>94</v>
      </c>
      <c r="AN57" t="s">
        <v>72</v>
      </c>
      <c r="AO57" s="4" t="str">
        <f>HYPERLINK("http://exon.niaid.nih.gov/transcriptome/C_felis/S2/links/SWISSP/Cf-109-SWISSP.txt","60S ribosomal protein L14")</f>
        <v>60S ribosomal protein L14</v>
      </c>
      <c r="AP57" t="str">
        <f>HYPERLINK("http://www.uniprot.org/uniprot/P55841","1E-040")</f>
        <v>1E-040</v>
      </c>
      <c r="AQ57" t="s">
        <v>153</v>
      </c>
      <c r="AR57">
        <v>165</v>
      </c>
      <c r="AS57">
        <v>138</v>
      </c>
      <c r="AT57">
        <v>166</v>
      </c>
      <c r="AU57">
        <v>56</v>
      </c>
      <c r="AV57">
        <v>84</v>
      </c>
      <c r="AW57" t="s">
        <v>52</v>
      </c>
      <c r="AX57" s="4" t="s">
        <v>154</v>
      </c>
      <c r="AY57">
        <f>HYPERLINK("http://exon.niaid.nih.gov/transcriptome/C_felis/S2/links/GO/Cf-109-GO.txt",8E-41)</f>
        <v>8E-41</v>
      </c>
      <c r="AZ57" t="str">
        <f t="shared" si="26"/>
        <v>GO:0003735</v>
      </c>
      <c r="BA57" t="s">
        <v>53</v>
      </c>
      <c r="BB57" t="s">
        <v>54</v>
      </c>
      <c r="BC57" t="s">
        <v>55</v>
      </c>
      <c r="BD57" t="s">
        <v>7</v>
      </c>
      <c r="BF57" s="5">
        <v>8E-41</v>
      </c>
      <c r="BG57" t="str">
        <f>HYPERLINK("http://amigo.geneontology.org/cgi-bin/amigo/term_details?term=GO:0022625","GO:0022625")</f>
        <v>GO:0022625</v>
      </c>
      <c r="BH57" t="s">
        <v>56</v>
      </c>
      <c r="BI57" t="s">
        <v>57</v>
      </c>
      <c r="BJ57" t="s">
        <v>58</v>
      </c>
      <c r="BK57" t="s">
        <v>7</v>
      </c>
      <c r="BM57" s="5">
        <v>8E-41</v>
      </c>
      <c r="BN57" t="str">
        <f>HYPERLINK("http://amigo.geneontology.org/cgi-bin/amigo/term_details?term=GO:0006412","GO:0006412")</f>
        <v>GO:0006412</v>
      </c>
      <c r="BO57" t="s">
        <v>59</v>
      </c>
      <c r="BP57" t="s">
        <v>60</v>
      </c>
      <c r="BQ57" t="s">
        <v>61</v>
      </c>
      <c r="BR57" t="s">
        <v>7</v>
      </c>
      <c r="BT57" s="5">
        <v>8E-41</v>
      </c>
      <c r="BU57" s="4" t="str">
        <f>HYPERLINK("http://exon.niaid.nih.gov/transcriptome/C_felis/S2/links/KOG/Cf-109-KOG.txt","60S ribosomal protein L14")</f>
        <v>60S ribosomal protein L14</v>
      </c>
      <c r="BV57" t="str">
        <f>HYPERLINK("http://www.ncbi.nlm.nih.gov/COG/grace/shokog.cgi?KOG3421","6E-036")</f>
        <v>6E-036</v>
      </c>
      <c r="BW57" t="s">
        <v>62</v>
      </c>
      <c r="BX57" t="str">
        <f>HYPERLINK("http://exon.niaid.nih.gov/transcriptome/C_felis/S2/links/KOG/Cf-109-KOG.txt","KOG3421")</f>
        <v>KOG3421</v>
      </c>
      <c r="BY57" s="4" t="str">
        <f>HYPERLINK("http://exon.niaid.nih.gov/transcriptome/C_felis/S2/links/CDD/Cf-109-CDD.txt","PTZ00065")</f>
        <v>PTZ00065</v>
      </c>
      <c r="BZ57" t="str">
        <f>HYPERLINK("http://www.ncbi.nlm.nih.gov/Structure/cdd/cddsrv.cgi?uid=PTZ00065&amp;version=v4.0","4E-023")</f>
        <v>4E-023</v>
      </c>
      <c r="CA57" t="s">
        <v>155</v>
      </c>
      <c r="CB57" s="4" t="str">
        <f>HYPERLINK("http://exon.niaid.nih.gov/transcriptome/C_felis/S2/links/PFAM/Cf-109-PFAM.txt","Ribosomal_L14e")</f>
        <v>Ribosomal_L14e</v>
      </c>
      <c r="CC57" t="str">
        <f>HYPERLINK("http://pfam.sanger.ac.uk/family?acc=PF01929","3E-023")</f>
        <v>3E-023</v>
      </c>
      <c r="CD57" s="4" t="str">
        <f>HYPERLINK("http://exon.niaid.nih.gov/transcriptome/C_felis/S2/links/SMART/Cf-109-SMART.txt","SHR3_chaperone")</f>
        <v>SHR3_chaperone</v>
      </c>
      <c r="CE57" t="str">
        <f>HYPERLINK("http://smart.embl-heidelberg.de/smart/do_annotation.pl?DOMAIN=SHR3_chaperone&amp;BLAST=DUMMY","0.57")</f>
        <v>0.57</v>
      </c>
      <c r="CF57" s="4" t="s">
        <v>7</v>
      </c>
      <c r="CG57" t="s">
        <v>7</v>
      </c>
      <c r="CH57" t="s">
        <v>7</v>
      </c>
      <c r="CI57" t="s">
        <v>7</v>
      </c>
      <c r="CJ57" t="s">
        <v>7</v>
      </c>
      <c r="CK57" s="7">
        <v>19</v>
      </c>
      <c r="CL57" s="2">
        <v>1</v>
      </c>
      <c r="CM57" s="7">
        <v>19</v>
      </c>
      <c r="CN57" s="2">
        <v>1</v>
      </c>
      <c r="CO57" s="7">
        <v>19</v>
      </c>
      <c r="CP57" s="2">
        <v>1</v>
      </c>
      <c r="CQ57" s="7">
        <v>20</v>
      </c>
      <c r="CR57" s="2">
        <v>1</v>
      </c>
      <c r="CS57" s="7">
        <v>19</v>
      </c>
      <c r="CT57" s="2">
        <v>1</v>
      </c>
      <c r="CU57" s="7">
        <v>22</v>
      </c>
      <c r="CV57" s="2">
        <v>1</v>
      </c>
      <c r="CW57" s="7">
        <v>20</v>
      </c>
      <c r="CX57" s="2">
        <v>1</v>
      </c>
      <c r="CY57" s="7">
        <v>21</v>
      </c>
      <c r="CZ57" s="2">
        <v>1</v>
      </c>
      <c r="DA57" s="7">
        <v>21</v>
      </c>
      <c r="DB57" s="2">
        <v>1</v>
      </c>
      <c r="DC57" s="7">
        <v>20</v>
      </c>
      <c r="DD57" s="2">
        <v>1</v>
      </c>
      <c r="DE57" s="7">
        <v>19</v>
      </c>
      <c r="DF57" s="2">
        <v>1</v>
      </c>
      <c r="DG57" s="7">
        <v>17</v>
      </c>
      <c r="DH57" s="2">
        <v>1</v>
      </c>
      <c r="DI57" s="7">
        <v>18</v>
      </c>
      <c r="DJ57" s="2">
        <v>1</v>
      </c>
      <c r="DK57" s="7">
        <v>18</v>
      </c>
      <c r="DL57" s="2">
        <v>1</v>
      </c>
      <c r="DM57" s="7">
        <v>17</v>
      </c>
      <c r="DN57" s="2">
        <v>1</v>
      </c>
      <c r="DO57" s="7">
        <v>15</v>
      </c>
      <c r="DP57" s="2">
        <v>1</v>
      </c>
      <c r="DQ57" s="7">
        <v>14</v>
      </c>
      <c r="DR57" s="2">
        <v>1</v>
      </c>
      <c r="DS57" s="7">
        <v>12</v>
      </c>
      <c r="DT57" s="2">
        <v>1</v>
      </c>
    </row>
    <row r="58" spans="1:124" x14ac:dyDescent="0.2">
      <c r="A58" t="str">
        <f>HYPERLINK("http://exon.niaid.nih.gov/transcriptome/C_felis/S2/links/pep/Cf-163-pep.txt","Cf-163")</f>
        <v>Cf-163</v>
      </c>
      <c r="B58" s="2">
        <v>5</v>
      </c>
      <c r="C58">
        <v>121</v>
      </c>
      <c r="D58" t="str">
        <f>HYPERLINK("http://exon.niaid.nih.gov/transcriptome/C_felis/S2/links/cds/Cf-163-cds.txt","Cf-163")</f>
        <v>Cf-163</v>
      </c>
      <c r="E58">
        <v>366</v>
      </c>
      <c r="F58" t="s">
        <v>475</v>
      </c>
      <c r="G58">
        <v>0</v>
      </c>
      <c r="I58" s="2" t="s">
        <v>10</v>
      </c>
      <c r="J58" s="2" t="s">
        <v>3</v>
      </c>
      <c r="K58" s="20" t="str">
        <f>HYPERLINK("http://exon.niaid.nih.gov/transcriptome/C_felis/S2/links/Sigp/Cf-163-SigP.txt","CYT")</f>
        <v>CYT</v>
      </c>
      <c r="L58" s="2" t="s">
        <v>7</v>
      </c>
      <c r="M58" s="2">
        <v>14.313000000000001</v>
      </c>
      <c r="N58" s="2">
        <v>10.7</v>
      </c>
      <c r="O58" s="2" t="s">
        <v>7</v>
      </c>
      <c r="P58" s="2" t="s">
        <v>7</v>
      </c>
      <c r="Q58" s="24" t="s">
        <v>556</v>
      </c>
      <c r="R58" s="20">
        <v>0</v>
      </c>
      <c r="S58" s="2" t="s">
        <v>7</v>
      </c>
      <c r="T58" s="2" t="s">
        <v>7</v>
      </c>
      <c r="U58" s="2" t="s">
        <v>7</v>
      </c>
      <c r="V58" s="2" t="s">
        <v>7</v>
      </c>
      <c r="W58" s="2" t="s">
        <v>7</v>
      </c>
      <c r="X58" s="20" t="str">
        <f>HYPERLINK("http://exon.niaid.nih.gov/transcriptome/C_felis/S2/links/netoglyc/CF-163-netoglyc.txt","0")</f>
        <v>0</v>
      </c>
      <c r="Y58" s="2">
        <v>10.7</v>
      </c>
      <c r="Z58" s="2">
        <v>6.6</v>
      </c>
      <c r="AA58" s="2">
        <v>3.3</v>
      </c>
      <c r="AB58" t="s">
        <v>437</v>
      </c>
      <c r="AC58" t="s">
        <v>438</v>
      </c>
      <c r="AD58" t="s">
        <v>475</v>
      </c>
      <c r="AE58" s="2">
        <v>5</v>
      </c>
      <c r="AF58" s="4" t="str">
        <f>HYPERLINK("http://exon.niaid.nih.gov/transcriptome/C_felis/S2/links/NR/Cf-163-NR.txt","similar to ribosomal protein L32e")</f>
        <v>similar to ribosomal protein L32e</v>
      </c>
      <c r="AG58" t="str">
        <f>HYPERLINK("http://www.ncbi.nlm.nih.gov/sutils/blink.cgi?pid=91087871","2E-056")</f>
        <v>2E-056</v>
      </c>
      <c r="AH58" t="str">
        <f>HYPERLINK("http://www.ncbi.nlm.nih.gov/protein/91087871","gi|91087871")</f>
        <v>gi|91087871</v>
      </c>
      <c r="AI58">
        <v>222</v>
      </c>
      <c r="AJ58">
        <v>117</v>
      </c>
      <c r="AK58">
        <v>134</v>
      </c>
      <c r="AL58">
        <v>89</v>
      </c>
      <c r="AM58">
        <v>88</v>
      </c>
      <c r="AN58" t="s">
        <v>72</v>
      </c>
      <c r="AO58" s="4" t="str">
        <f>HYPERLINK("http://exon.niaid.nih.gov/transcriptome/C_felis/S2/links/SWISSP/Cf-163-SWISSP.txt","60S ribosomal protein L32")</f>
        <v>60S ribosomal protein L32</v>
      </c>
      <c r="AP58" t="str">
        <f>HYPERLINK("http://www.uniprot.org/uniprot/Q962T1","9E-056")</f>
        <v>9E-056</v>
      </c>
      <c r="AQ58" t="s">
        <v>214</v>
      </c>
      <c r="AR58">
        <v>214</v>
      </c>
      <c r="AS58">
        <v>117</v>
      </c>
      <c r="AT58">
        <v>134</v>
      </c>
      <c r="AU58">
        <v>87</v>
      </c>
      <c r="AV58">
        <v>88</v>
      </c>
      <c r="AW58" t="s">
        <v>68</v>
      </c>
      <c r="AX58" s="4" t="s">
        <v>215</v>
      </c>
      <c r="AY58">
        <f>HYPERLINK("http://exon.niaid.nih.gov/transcriptome/C_felis/S2/links/GO/Cf-163-GO.txt",9E-53)</f>
        <v>8.9999999999999997E-53</v>
      </c>
      <c r="AZ58" t="str">
        <f t="shared" si="26"/>
        <v>GO:0003735</v>
      </c>
      <c r="BA58" t="s">
        <v>53</v>
      </c>
      <c r="BB58" t="s">
        <v>54</v>
      </c>
      <c r="BC58" t="s">
        <v>55</v>
      </c>
      <c r="BD58" t="s">
        <v>7</v>
      </c>
      <c r="BF58" s="5">
        <v>8.9999999999999997E-53</v>
      </c>
      <c r="BG58" t="str">
        <f>HYPERLINK("http://amigo.geneontology.org/cgi-bin/amigo/term_details?term=GO:0022625","GO:0022625")</f>
        <v>GO:0022625</v>
      </c>
      <c r="BH58" t="s">
        <v>56</v>
      </c>
      <c r="BI58" t="s">
        <v>57</v>
      </c>
      <c r="BJ58" t="s">
        <v>58</v>
      </c>
      <c r="BK58" t="s">
        <v>7</v>
      </c>
      <c r="BM58" s="5">
        <v>8.9999999999999997E-53</v>
      </c>
      <c r="BN58" t="str">
        <f>HYPERLINK("http://amigo.geneontology.org/cgi-bin/amigo/term_details?term=GO:0006412","GO:0006412")</f>
        <v>GO:0006412</v>
      </c>
      <c r="BO58" t="s">
        <v>59</v>
      </c>
      <c r="BP58" t="s">
        <v>60</v>
      </c>
      <c r="BQ58" t="s">
        <v>61</v>
      </c>
      <c r="BR58" t="s">
        <v>7</v>
      </c>
      <c r="BT58" s="5">
        <v>8.9999999999999997E-53</v>
      </c>
      <c r="BU58" s="4" t="str">
        <f>HYPERLINK("http://exon.niaid.nih.gov/transcriptome/C_felis/S2/links/KOG/Cf-163-KOG.txt","60S ribosomal protein L32")</f>
        <v>60S ribosomal protein L32</v>
      </c>
      <c r="BV58" t="str">
        <f>HYPERLINK("http://www.ncbi.nlm.nih.gov/COG/grace/shokog.cgi?KOG0878","2E-043")</f>
        <v>2E-043</v>
      </c>
      <c r="BW58" t="s">
        <v>62</v>
      </c>
      <c r="BX58" t="str">
        <f>HYPERLINK("http://exon.niaid.nih.gov/transcriptome/C_felis/S2/links/KOG/Cf-163-KOG.txt","KOG0878")</f>
        <v>KOG0878</v>
      </c>
      <c r="BY58" s="4" t="str">
        <f>HYPERLINK("http://exon.niaid.nih.gov/transcriptome/C_felis/S2/links/CDD/Cf-163-CDD.txt","PTZ00159")</f>
        <v>PTZ00159</v>
      </c>
      <c r="BZ58" t="str">
        <f>HYPERLINK("http://www.ncbi.nlm.nih.gov/Structure/cdd/cddsrv.cgi?uid=PTZ00159&amp;version=v4.0","1E-048")</f>
        <v>1E-048</v>
      </c>
      <c r="CA58" t="s">
        <v>216</v>
      </c>
      <c r="CB58" s="4" t="str">
        <f>HYPERLINK("http://exon.niaid.nih.gov/transcriptome/C_felis/S2/links/PFAM/Cf-163-PFAM.txt","Ribosomal_L32e")</f>
        <v>Ribosomal_L32e</v>
      </c>
      <c r="CC58" t="str">
        <f>HYPERLINK("http://pfam.sanger.ac.uk/family?acc=PF01655","3E-047")</f>
        <v>3E-047</v>
      </c>
      <c r="CD58" s="4" t="str">
        <f>HYPERLINK("http://exon.niaid.nih.gov/transcriptome/C_felis/S2/links/SMART/Cf-163-SMART.txt","NUC")</f>
        <v>NUC</v>
      </c>
      <c r="CE58" t="str">
        <f>HYPERLINK("http://smart.embl-heidelberg.de/smart/do_annotation.pl?DOMAIN=NUC&amp;BLAST=DUMMY","0.36")</f>
        <v>0.36</v>
      </c>
      <c r="CF58" s="4" t="s">
        <v>7</v>
      </c>
      <c r="CG58" t="s">
        <v>7</v>
      </c>
      <c r="CH58" t="s">
        <v>7</v>
      </c>
      <c r="CI58" t="s">
        <v>7</v>
      </c>
      <c r="CJ58" t="s">
        <v>7</v>
      </c>
      <c r="CK58" s="7">
        <v>34</v>
      </c>
      <c r="CL58" s="2">
        <v>1</v>
      </c>
      <c r="CM58" s="7">
        <v>34</v>
      </c>
      <c r="CN58" s="2">
        <v>1</v>
      </c>
      <c r="CO58" s="7">
        <v>34</v>
      </c>
      <c r="CP58" s="2">
        <v>1</v>
      </c>
      <c r="CQ58" s="7">
        <f>HYPERLINK("http://exon.niaid.nih.gov/transcriptome/C_felis/S2/links/cluster/cf-pep25-50-Sim-CLU3.txt", 3)</f>
        <v>3</v>
      </c>
      <c r="CR58" s="2">
        <f>HYPERLINK("http://exon.niaid.nih.gov/transcriptome/C_felis/S2/links/cluster/cf-pep25-50-Sim-CLTL3.txt", 10)</f>
        <v>10</v>
      </c>
      <c r="CS58" s="7">
        <v>31</v>
      </c>
      <c r="CT58" s="2">
        <v>1</v>
      </c>
      <c r="CU58" s="7">
        <v>36</v>
      </c>
      <c r="CV58" s="2">
        <v>1</v>
      </c>
      <c r="CW58" s="7">
        <v>35</v>
      </c>
      <c r="CX58" s="2">
        <v>1</v>
      </c>
      <c r="CY58" s="7">
        <v>36</v>
      </c>
      <c r="CZ58" s="2">
        <v>1</v>
      </c>
      <c r="DA58" s="7">
        <v>36</v>
      </c>
      <c r="DB58" s="2">
        <v>1</v>
      </c>
      <c r="DC58" s="7">
        <v>35</v>
      </c>
      <c r="DD58" s="2">
        <v>1</v>
      </c>
      <c r="DE58" s="7">
        <v>34</v>
      </c>
      <c r="DF58" s="2">
        <v>1</v>
      </c>
      <c r="DG58" s="7">
        <v>34</v>
      </c>
      <c r="DH58" s="2">
        <v>1</v>
      </c>
      <c r="DI58" s="7">
        <v>35</v>
      </c>
      <c r="DJ58" s="2">
        <v>1</v>
      </c>
      <c r="DK58" s="7">
        <v>35</v>
      </c>
      <c r="DL58" s="2">
        <v>1</v>
      </c>
      <c r="DM58" s="7">
        <v>37</v>
      </c>
      <c r="DN58" s="2">
        <v>1</v>
      </c>
      <c r="DO58" s="7">
        <v>35</v>
      </c>
      <c r="DP58" s="2">
        <v>1</v>
      </c>
      <c r="DQ58" s="7">
        <v>35</v>
      </c>
      <c r="DR58" s="2">
        <v>1</v>
      </c>
      <c r="DS58" s="7">
        <v>34</v>
      </c>
      <c r="DT58" s="2">
        <v>1</v>
      </c>
    </row>
    <row r="59" spans="1:124" x14ac:dyDescent="0.2">
      <c r="A59" t="str">
        <f>HYPERLINK("http://exon.niaid.nih.gov/transcriptome/C_felis/S2/links/pep/Cf-151-pep.txt","Cf-151")</f>
        <v>Cf-151</v>
      </c>
      <c r="B59" s="2">
        <v>5</v>
      </c>
      <c r="C59">
        <v>83</v>
      </c>
      <c r="D59" t="str">
        <f>HYPERLINK("http://exon.niaid.nih.gov/transcriptome/C_felis/S2/links/cds/Cf-151-cds.txt","Cf-151")</f>
        <v>Cf-151</v>
      </c>
      <c r="E59">
        <v>252</v>
      </c>
      <c r="F59" t="s">
        <v>469</v>
      </c>
      <c r="G59">
        <v>0</v>
      </c>
      <c r="I59" s="2" t="s">
        <v>9</v>
      </c>
      <c r="J59" s="2" t="s">
        <v>3</v>
      </c>
      <c r="K59" s="20" t="str">
        <f>HYPERLINK("http://exon.niaid.nih.gov/transcriptome/C_felis/S2/links/Sigp/Cf-151-SigP.txt","CYT")</f>
        <v>CYT</v>
      </c>
      <c r="L59" s="2" t="s">
        <v>7</v>
      </c>
      <c r="M59" s="2">
        <v>9.0530000000000008</v>
      </c>
      <c r="N59" s="2">
        <v>6.05</v>
      </c>
      <c r="O59" s="2" t="s">
        <v>7</v>
      </c>
      <c r="P59" s="2" t="s">
        <v>7</v>
      </c>
      <c r="Q59" s="24" t="s">
        <v>556</v>
      </c>
      <c r="R59" s="20">
        <v>0</v>
      </c>
      <c r="S59" s="2" t="s">
        <v>7</v>
      </c>
      <c r="T59" s="2" t="s">
        <v>7</v>
      </c>
      <c r="U59" s="2" t="s">
        <v>7</v>
      </c>
      <c r="V59" s="2" t="s">
        <v>7</v>
      </c>
      <c r="W59" s="2" t="s">
        <v>7</v>
      </c>
      <c r="X59" s="20" t="str">
        <f>HYPERLINK("http://exon.niaid.nih.gov/transcriptome/C_felis/S2/links/netoglyc/CF-151-netoglyc.txt","0")</f>
        <v>0</v>
      </c>
      <c r="Y59" s="2">
        <v>10.8</v>
      </c>
      <c r="Z59" s="2">
        <v>8.4</v>
      </c>
      <c r="AA59" s="2">
        <v>2.4</v>
      </c>
      <c r="AB59" t="s">
        <v>437</v>
      </c>
      <c r="AC59" t="s">
        <v>438</v>
      </c>
      <c r="AD59" t="s">
        <v>469</v>
      </c>
      <c r="AE59" s="2">
        <v>5</v>
      </c>
      <c r="AF59" s="4" t="str">
        <f>HYPERLINK("http://exon.niaid.nih.gov/transcriptome/C_felis/S2/links/NR/Cf-151-NR.txt","similar to ribosomal protein S21e")</f>
        <v>similar to ribosomal protein S21e</v>
      </c>
      <c r="AG59" t="str">
        <f>HYPERLINK("http://www.ncbi.nlm.nih.gov/sutils/blink.cgi?pid=91093173","9E-037")</f>
        <v>9E-037</v>
      </c>
      <c r="AH59" t="str">
        <f>HYPERLINK("http://www.ncbi.nlm.nih.gov/protein/91093173","gi|91093173")</f>
        <v>gi|91093173</v>
      </c>
      <c r="AI59">
        <v>156</v>
      </c>
      <c r="AJ59">
        <v>82</v>
      </c>
      <c r="AK59">
        <v>83</v>
      </c>
      <c r="AL59">
        <v>90</v>
      </c>
      <c r="AM59">
        <v>100</v>
      </c>
      <c r="AN59" t="s">
        <v>72</v>
      </c>
      <c r="AO59" s="4" t="str">
        <f>HYPERLINK("http://exon.niaid.nih.gov/transcriptome/C_felis/S2/links/SWISSP/Cf-151-SWISSP.txt","40S ribosomal protein S21")</f>
        <v>40S ribosomal protein S21</v>
      </c>
      <c r="AP59" t="str">
        <f>HYPERLINK("http://www.uniprot.org/uniprot/Q4GXP2","7E-037")</f>
        <v>7E-037</v>
      </c>
      <c r="AQ59" t="s">
        <v>186</v>
      </c>
      <c r="AR59">
        <v>152</v>
      </c>
      <c r="AS59">
        <v>82</v>
      </c>
      <c r="AT59">
        <v>83</v>
      </c>
      <c r="AU59">
        <v>86</v>
      </c>
      <c r="AV59">
        <v>100</v>
      </c>
      <c r="AW59" t="s">
        <v>67</v>
      </c>
      <c r="AX59" s="4" t="s">
        <v>187</v>
      </c>
      <c r="AY59">
        <f>HYPERLINK("http://exon.niaid.nih.gov/transcriptome/C_felis/S2/links/GO/Cf-151-GO.txt",9E-34)</f>
        <v>9.0000000000000008E-34</v>
      </c>
      <c r="AZ59" t="str">
        <f>HYPERLINK("http://amigo.geneontology.org/cgi-bin/amigo/term_details?term=GO:0043022","GO:0043022")</f>
        <v>GO:0043022</v>
      </c>
      <c r="BA59" t="s">
        <v>188</v>
      </c>
      <c r="BB59" t="s">
        <v>189</v>
      </c>
      <c r="BC59" t="s">
        <v>190</v>
      </c>
      <c r="BD59" t="s">
        <v>7</v>
      </c>
      <c r="BF59" s="5">
        <v>9.0000000000000008E-34</v>
      </c>
      <c r="BG59" t="str">
        <f>HYPERLINK("http://amigo.geneontology.org/cgi-bin/amigo/term_details?term=GO:0005840","GO:0005840")</f>
        <v>GO:0005840</v>
      </c>
      <c r="BH59" t="s">
        <v>94</v>
      </c>
      <c r="BI59" t="s">
        <v>95</v>
      </c>
      <c r="BJ59" t="s">
        <v>96</v>
      </c>
      <c r="BK59" t="s">
        <v>7</v>
      </c>
      <c r="BM59" s="5">
        <v>9.0000000000000008E-34</v>
      </c>
      <c r="BN59" t="str">
        <f>HYPERLINK("http://amigo.geneontology.org/cgi-bin/amigo/term_details?term=GO:0042127","GO:0042127")</f>
        <v>GO:0042127</v>
      </c>
      <c r="BO59" t="s">
        <v>191</v>
      </c>
      <c r="BP59" t="s">
        <v>192</v>
      </c>
      <c r="BQ59" t="s">
        <v>7</v>
      </c>
      <c r="BR59" t="s">
        <v>7</v>
      </c>
      <c r="BT59" s="5">
        <v>9.0000000000000008E-34</v>
      </c>
      <c r="BU59" s="4" t="str">
        <f>HYPERLINK("http://exon.niaid.nih.gov/transcriptome/C_felis/S2/links/KOG/Cf-151-KOG.txt","40S ribosomal protein S21")</f>
        <v>40S ribosomal protein S21</v>
      </c>
      <c r="BV59" t="str">
        <f>HYPERLINK("http://www.ncbi.nlm.nih.gov/COG/grace/shokog.cgi?KOG3486","2E-030")</f>
        <v>2E-030</v>
      </c>
      <c r="BW59" t="s">
        <v>62</v>
      </c>
      <c r="BX59" t="str">
        <f>HYPERLINK("http://exon.niaid.nih.gov/transcriptome/C_felis/S2/links/KOG/Cf-151-KOG.txt","KOG3486")</f>
        <v>KOG3486</v>
      </c>
      <c r="BY59" s="4" t="str">
        <f>HYPERLINK("http://exon.niaid.nih.gov/transcriptome/C_felis/S2/links/CDD/Cf-151-CDD.txt","Ribosomal_S21e")</f>
        <v>Ribosomal_S21e</v>
      </c>
      <c r="BZ59" t="str">
        <f>HYPERLINK("http://www.ncbi.nlm.nih.gov/Structure/cdd/cddsrv.cgi?uid=pfam01249&amp;version=v4.0","5E-037")</f>
        <v>5E-037</v>
      </c>
      <c r="CA59" t="s">
        <v>193</v>
      </c>
      <c r="CB59" s="4" t="str">
        <f>HYPERLINK("http://exon.niaid.nih.gov/transcriptome/C_felis/S2/links/PFAM/Cf-151-PFAM.txt","Ribosomal_S21e")</f>
        <v>Ribosomal_S21e</v>
      </c>
      <c r="CC59" t="str">
        <f>HYPERLINK("http://pfam.sanger.ac.uk/family?acc=PF01249","1E-037")</f>
        <v>1E-037</v>
      </c>
      <c r="CD59" s="4" t="str">
        <f>HYPERLINK("http://exon.niaid.nih.gov/transcriptome/C_felis/S2/links/SMART/Cf-151-SMART.txt","53EXOc")</f>
        <v>53EXOc</v>
      </c>
      <c r="CE59" t="str">
        <f>HYPERLINK("http://smart.embl-heidelberg.de/smart/do_annotation.pl?DOMAIN=53EXOc&amp;BLAST=DUMMY","0.073")</f>
        <v>0.073</v>
      </c>
      <c r="CF59" s="4" t="s">
        <v>7</v>
      </c>
      <c r="CG59" t="s">
        <v>7</v>
      </c>
      <c r="CH59" t="s">
        <v>7</v>
      </c>
      <c r="CI59" t="s">
        <v>7</v>
      </c>
      <c r="CJ59" t="s">
        <v>7</v>
      </c>
      <c r="CK59" s="7">
        <v>29</v>
      </c>
      <c r="CL59" s="2">
        <v>1</v>
      </c>
      <c r="CM59" s="7">
        <v>29</v>
      </c>
      <c r="CN59" s="2">
        <v>1</v>
      </c>
      <c r="CO59" s="7">
        <v>29</v>
      </c>
      <c r="CP59" s="2">
        <v>1</v>
      </c>
      <c r="CQ59" s="7">
        <v>26</v>
      </c>
      <c r="CR59" s="2">
        <v>1</v>
      </c>
      <c r="CS59" s="7">
        <v>26</v>
      </c>
      <c r="CT59" s="2">
        <v>1</v>
      </c>
      <c r="CU59" s="7">
        <v>31</v>
      </c>
      <c r="CV59" s="2">
        <v>1</v>
      </c>
      <c r="CW59" s="7">
        <v>30</v>
      </c>
      <c r="CX59" s="2">
        <v>1</v>
      </c>
      <c r="CY59" s="7">
        <v>31</v>
      </c>
      <c r="CZ59" s="2">
        <v>1</v>
      </c>
      <c r="DA59" s="7">
        <v>31</v>
      </c>
      <c r="DB59" s="2">
        <v>1</v>
      </c>
      <c r="DC59" s="7">
        <v>30</v>
      </c>
      <c r="DD59" s="2">
        <v>1</v>
      </c>
      <c r="DE59" s="7">
        <v>29</v>
      </c>
      <c r="DF59" s="2">
        <v>1</v>
      </c>
      <c r="DG59" s="7">
        <v>29</v>
      </c>
      <c r="DH59" s="2">
        <v>1</v>
      </c>
      <c r="DI59" s="7">
        <v>30</v>
      </c>
      <c r="DJ59" s="2">
        <v>1</v>
      </c>
      <c r="DK59" s="7">
        <v>30</v>
      </c>
      <c r="DL59" s="2">
        <v>1</v>
      </c>
      <c r="DM59" s="7">
        <v>30</v>
      </c>
      <c r="DN59" s="2">
        <v>1</v>
      </c>
      <c r="DO59" s="7">
        <v>28</v>
      </c>
      <c r="DP59" s="2">
        <v>1</v>
      </c>
      <c r="DQ59" s="7">
        <v>28</v>
      </c>
      <c r="DR59" s="2">
        <v>1</v>
      </c>
      <c r="DS59" s="7">
        <v>26</v>
      </c>
      <c r="DT59" s="2">
        <v>1</v>
      </c>
    </row>
    <row r="60" spans="1:124" x14ac:dyDescent="0.2">
      <c r="A60" t="str">
        <f>HYPERLINK("http://exon.niaid.nih.gov/transcriptome/C_felis/S2/links/pep/Cf-187-pep.txt","Cf-187")</f>
        <v>Cf-187</v>
      </c>
      <c r="B60" s="2">
        <v>4</v>
      </c>
      <c r="C60">
        <v>155</v>
      </c>
      <c r="D60" t="str">
        <f>HYPERLINK("http://exon.niaid.nih.gov/transcriptome/C_felis/S2/links/cds/Cf-187-cds.txt","Cf-187")</f>
        <v>Cf-187</v>
      </c>
      <c r="E60">
        <v>468</v>
      </c>
      <c r="F60" t="s">
        <v>486</v>
      </c>
      <c r="G60">
        <v>0</v>
      </c>
      <c r="I60" s="2" t="s">
        <v>11</v>
      </c>
      <c r="J60" s="2" t="s">
        <v>3</v>
      </c>
      <c r="K60" s="20" t="str">
        <f>HYPERLINK("http://exon.niaid.nih.gov/transcriptome/C_felis/S2/links/Sigp/Cf-187-SigP.txt","CYT")</f>
        <v>CYT</v>
      </c>
      <c r="L60" s="2" t="s">
        <v>7</v>
      </c>
      <c r="M60" s="2">
        <v>16.626999999999999</v>
      </c>
      <c r="N60" s="2">
        <v>9.98</v>
      </c>
      <c r="O60" s="2" t="s">
        <v>7</v>
      </c>
      <c r="P60" s="2" t="s">
        <v>7</v>
      </c>
      <c r="Q60" s="24" t="s">
        <v>574</v>
      </c>
      <c r="R60" s="20">
        <v>0</v>
      </c>
      <c r="S60" s="2" t="s">
        <v>7</v>
      </c>
      <c r="T60" s="2" t="s">
        <v>7</v>
      </c>
      <c r="U60" s="2" t="s">
        <v>7</v>
      </c>
      <c r="V60" s="2" t="s">
        <v>7</v>
      </c>
      <c r="W60" s="2" t="s">
        <v>7</v>
      </c>
      <c r="X60" s="20" t="str">
        <f>HYPERLINK("http://exon.niaid.nih.gov/transcriptome/C_felis/S2/links/netoglyc/CF-187-netoglyc.txt","0")</f>
        <v>0</v>
      </c>
      <c r="Y60" s="2">
        <v>13.5</v>
      </c>
      <c r="Z60" s="2">
        <v>10.3</v>
      </c>
      <c r="AA60" s="2">
        <v>7.1</v>
      </c>
      <c r="AB60" t="s">
        <v>437</v>
      </c>
      <c r="AC60" t="s">
        <v>438</v>
      </c>
      <c r="AD60" t="s">
        <v>486</v>
      </c>
      <c r="AE60" s="2">
        <v>4</v>
      </c>
      <c r="AF60" s="4" t="str">
        <f>HYPERLINK("http://exon.niaid.nih.gov/transcriptome/C_felis/S2/links/NR/Cf-187-NR.txt","similar to ribosomal protein S2")</f>
        <v>similar to ribosomal protein S2</v>
      </c>
      <c r="AG60" t="str">
        <f>HYPERLINK("http://www.ncbi.nlm.nih.gov/sutils/blink.cgi?pid=91081061","3E-076")</f>
        <v>3E-076</v>
      </c>
      <c r="AH60" t="str">
        <f>HYPERLINK("http://www.ncbi.nlm.nih.gov/protein/91081061","gi|91081061")</f>
        <v>gi|91081061</v>
      </c>
      <c r="AI60">
        <v>287</v>
      </c>
      <c r="AJ60">
        <v>144</v>
      </c>
      <c r="AK60">
        <v>278</v>
      </c>
      <c r="AL60">
        <v>95</v>
      </c>
      <c r="AM60">
        <v>52</v>
      </c>
      <c r="AN60" t="s">
        <v>72</v>
      </c>
      <c r="AO60" s="4" t="str">
        <f>HYPERLINK("http://exon.niaid.nih.gov/transcriptome/C_felis/S2/links/SWISSP/Cf-187-SWISSP.txt","40S ribosomal protein S2")</f>
        <v>40S ribosomal protein S2</v>
      </c>
      <c r="AP60" t="str">
        <f>HYPERLINK("http://www.uniprot.org/uniprot/P31009","1E-073")</f>
        <v>1E-073</v>
      </c>
      <c r="AQ60" t="s">
        <v>249</v>
      </c>
      <c r="AR60">
        <v>274</v>
      </c>
      <c r="AS60">
        <v>140</v>
      </c>
      <c r="AT60">
        <v>267</v>
      </c>
      <c r="AU60">
        <v>93</v>
      </c>
      <c r="AV60">
        <v>53</v>
      </c>
      <c r="AW60" t="s">
        <v>52</v>
      </c>
      <c r="AX60" s="4" t="s">
        <v>250</v>
      </c>
      <c r="AY60">
        <f>HYPERLINK("http://exon.niaid.nih.gov/transcriptome/C_felis/S2/links/GO/Cf-187-GO.txt",1E-73)</f>
        <v>1E-73</v>
      </c>
      <c r="AZ60" t="str">
        <f t="shared" ref="AZ60:AZ65" si="28">HYPERLINK("http://amigo.geneontology.org/cgi-bin/amigo/term_details?term=GO:0003735","GO:0003735")</f>
        <v>GO:0003735</v>
      </c>
      <c r="BA60" t="s">
        <v>53</v>
      </c>
      <c r="BB60" t="s">
        <v>54</v>
      </c>
      <c r="BC60" t="s">
        <v>55</v>
      </c>
      <c r="BD60" t="s">
        <v>7</v>
      </c>
      <c r="BF60" s="5">
        <v>1E-73</v>
      </c>
      <c r="BG60" t="str">
        <f>HYPERLINK("http://amigo.geneontology.org/cgi-bin/amigo/term_details?term=GO:0022627","GO:0022627")</f>
        <v>GO:0022627</v>
      </c>
      <c r="BH60" t="s">
        <v>79</v>
      </c>
      <c r="BI60" t="s">
        <v>80</v>
      </c>
      <c r="BJ60" t="s">
        <v>81</v>
      </c>
      <c r="BK60" t="s">
        <v>7</v>
      </c>
      <c r="BM60" s="5">
        <v>1E-73</v>
      </c>
      <c r="BN60" t="str">
        <f t="shared" ref="BN60:BN65" si="29">HYPERLINK("http://amigo.geneontology.org/cgi-bin/amigo/term_details?term=GO:0006412","GO:0006412")</f>
        <v>GO:0006412</v>
      </c>
      <c r="BO60" t="s">
        <v>59</v>
      </c>
      <c r="BP60" t="s">
        <v>60</v>
      </c>
      <c r="BQ60" t="s">
        <v>61</v>
      </c>
      <c r="BR60" t="s">
        <v>7</v>
      </c>
      <c r="BT60" s="5">
        <v>1E-73</v>
      </c>
      <c r="BU60" s="4" t="str">
        <f>HYPERLINK("http://exon.niaid.nih.gov/transcriptome/C_felis/S2/links/KOG/Cf-187-KOG.txt","40S ribosomal protein S2/30S ribosomal protein S5")</f>
        <v>40S ribosomal protein S2/30S ribosomal protein S5</v>
      </c>
      <c r="BV60" t="str">
        <f>HYPERLINK("http://www.ncbi.nlm.nih.gov/COG/grace/shokog.cgi?KOG0877","9E-061")</f>
        <v>9E-061</v>
      </c>
      <c r="BW60" t="s">
        <v>62</v>
      </c>
      <c r="BX60" t="str">
        <f>HYPERLINK("http://exon.niaid.nih.gov/transcriptome/C_felis/S2/links/KOG/Cf-187-KOG.txt","KOG0877")</f>
        <v>KOG0877</v>
      </c>
      <c r="BY60" s="4" t="str">
        <f>HYPERLINK("http://exon.niaid.nih.gov/transcriptome/C_felis/S2/links/CDD/Cf-187-CDD.txt","PTZ00070")</f>
        <v>PTZ00070</v>
      </c>
      <c r="BZ60" t="str">
        <f>HYPERLINK("http://www.ncbi.nlm.nih.gov/Structure/cdd/cddsrv.cgi?uid=PTZ00070&amp;version=v4.0","2E-075")</f>
        <v>2E-075</v>
      </c>
      <c r="CA60" t="s">
        <v>251</v>
      </c>
      <c r="CB60" s="4" t="str">
        <f>HYPERLINK("http://exon.niaid.nih.gov/transcriptome/C_felis/S2/links/PFAM/Cf-187-PFAM.txt","Ribosomal_S5_C")</f>
        <v>Ribosomal_S5_C</v>
      </c>
      <c r="CC60" t="str">
        <f>HYPERLINK("http://pfam.sanger.ac.uk/family?acc=PF03719","3E-019")</f>
        <v>3E-019</v>
      </c>
      <c r="CD60" s="4" t="str">
        <f>HYPERLINK("http://exon.niaid.nih.gov/transcriptome/C_felis/S2/links/SMART/Cf-187-SMART.txt","DWB")</f>
        <v>DWB</v>
      </c>
      <c r="CE60" t="str">
        <f>HYPERLINK("http://smart.embl-heidelberg.de/smart/do_annotation.pl?DOMAIN=DWB&amp;BLAST=DUMMY","0.004")</f>
        <v>0.004</v>
      </c>
      <c r="CF60" s="4" t="s">
        <v>7</v>
      </c>
      <c r="CG60" t="s">
        <v>7</v>
      </c>
      <c r="CH60" t="s">
        <v>7</v>
      </c>
      <c r="CI60" t="s">
        <v>7</v>
      </c>
      <c r="CJ60" t="s">
        <v>7</v>
      </c>
      <c r="CK60" s="7">
        <v>43</v>
      </c>
      <c r="CL60" s="2">
        <v>1</v>
      </c>
      <c r="CM60" s="7">
        <v>43</v>
      </c>
      <c r="CN60" s="2">
        <v>1</v>
      </c>
      <c r="CO60" s="7">
        <v>43</v>
      </c>
      <c r="CP60" s="2">
        <v>1</v>
      </c>
      <c r="CQ60" s="7">
        <v>34</v>
      </c>
      <c r="CR60" s="2">
        <v>1</v>
      </c>
      <c r="CS60" s="7">
        <v>37</v>
      </c>
      <c r="CT60" s="2">
        <v>1</v>
      </c>
      <c r="CU60" s="7">
        <v>44</v>
      </c>
      <c r="CV60" s="2">
        <v>1</v>
      </c>
      <c r="CW60" s="7">
        <v>43</v>
      </c>
      <c r="CX60" s="2">
        <v>1</v>
      </c>
      <c r="CY60" s="7">
        <v>45</v>
      </c>
      <c r="CZ60" s="2">
        <v>1</v>
      </c>
      <c r="DA60" s="7">
        <v>46</v>
      </c>
      <c r="DB60" s="2">
        <v>1</v>
      </c>
      <c r="DC60" s="7">
        <v>47</v>
      </c>
      <c r="DD60" s="2">
        <v>1</v>
      </c>
      <c r="DE60" s="7">
        <v>46</v>
      </c>
      <c r="DF60" s="2">
        <v>1</v>
      </c>
      <c r="DG60" s="7">
        <v>46</v>
      </c>
      <c r="DH60" s="2">
        <v>1</v>
      </c>
      <c r="DI60" s="7">
        <v>47</v>
      </c>
      <c r="DJ60" s="2">
        <v>1</v>
      </c>
      <c r="DK60" s="7">
        <v>47</v>
      </c>
      <c r="DL60" s="2">
        <v>1</v>
      </c>
      <c r="DM60" s="7">
        <v>49</v>
      </c>
      <c r="DN60" s="2">
        <v>1</v>
      </c>
      <c r="DO60" s="7">
        <v>48</v>
      </c>
      <c r="DP60" s="2">
        <v>1</v>
      </c>
      <c r="DQ60" s="7">
        <v>48</v>
      </c>
      <c r="DR60" s="2">
        <v>1</v>
      </c>
      <c r="DS60" s="7">
        <v>48</v>
      </c>
      <c r="DT60" s="2">
        <v>1</v>
      </c>
    </row>
    <row r="61" spans="1:124" x14ac:dyDescent="0.2">
      <c r="A61" t="str">
        <f>HYPERLINK("http://exon.niaid.nih.gov/transcriptome/C_felis/S2/links/pep/Cf-196-pep.txt","Cf-196")</f>
        <v>Cf-196</v>
      </c>
      <c r="B61" s="2">
        <v>4</v>
      </c>
      <c r="C61">
        <v>98</v>
      </c>
      <c r="D61" t="str">
        <f>HYPERLINK("http://exon.niaid.nih.gov/transcriptome/C_felis/S2/links/cds/Cf-196-cds.txt","Cf-196")</f>
        <v>Cf-196</v>
      </c>
      <c r="E61">
        <v>297</v>
      </c>
      <c r="F61" t="s">
        <v>490</v>
      </c>
      <c r="G61">
        <v>0</v>
      </c>
      <c r="I61" s="2" t="s">
        <v>10</v>
      </c>
      <c r="J61" s="2" t="s">
        <v>3</v>
      </c>
      <c r="K61" s="20" t="str">
        <f>HYPERLINK("http://exon.niaid.nih.gov/transcriptome/C_felis/S2/links/Sigp/Cf-196-SigP.txt","CYT")</f>
        <v>CYT</v>
      </c>
      <c r="L61" s="2" t="s">
        <v>7</v>
      </c>
      <c r="M61" s="2">
        <v>10.535</v>
      </c>
      <c r="N61" s="2">
        <v>10.53</v>
      </c>
      <c r="O61" s="2" t="s">
        <v>7</v>
      </c>
      <c r="P61" s="2" t="s">
        <v>7</v>
      </c>
      <c r="Q61" s="24" t="s">
        <v>556</v>
      </c>
      <c r="R61" s="20">
        <v>0</v>
      </c>
      <c r="S61" s="2" t="s">
        <v>7</v>
      </c>
      <c r="T61" s="2" t="s">
        <v>7</v>
      </c>
      <c r="U61" s="2" t="s">
        <v>7</v>
      </c>
      <c r="V61" s="2" t="s">
        <v>7</v>
      </c>
      <c r="W61" s="2" t="s">
        <v>7</v>
      </c>
      <c r="X61" s="20" t="str">
        <f>HYPERLINK("http://exon.niaid.nih.gov/transcriptome/C_felis/S2/links/netoglyc/CF-196-netoglyc.txt","0")</f>
        <v>0</v>
      </c>
      <c r="Y61" s="2">
        <v>7.1</v>
      </c>
      <c r="Z61" s="2">
        <v>11.2</v>
      </c>
      <c r="AA61" s="2">
        <v>7.1</v>
      </c>
      <c r="AB61" t="s">
        <v>437</v>
      </c>
      <c r="AC61" t="s">
        <v>438</v>
      </c>
      <c r="AD61" t="s">
        <v>490</v>
      </c>
      <c r="AE61" s="2">
        <v>4</v>
      </c>
      <c r="AF61" s="4" t="str">
        <f>HYPERLINK("http://exon.niaid.nih.gov/transcriptome/C_felis/S2/links/NR/Cf-196-NR.txt","similar to ribosomal protein L23e")</f>
        <v>similar to ribosomal protein L23e</v>
      </c>
      <c r="AG61" t="str">
        <f>HYPERLINK("http://www.ncbi.nlm.nih.gov/sutils/blink.cgi?pid=91085777","5E-048")</f>
        <v>5E-048</v>
      </c>
      <c r="AH61" t="str">
        <f>HYPERLINK("http://www.ncbi.nlm.nih.gov/protein/91085777","gi|91085777")</f>
        <v>gi|91085777</v>
      </c>
      <c r="AI61">
        <v>194</v>
      </c>
      <c r="AJ61">
        <v>96</v>
      </c>
      <c r="AK61">
        <v>140</v>
      </c>
      <c r="AL61">
        <v>98</v>
      </c>
      <c r="AM61">
        <v>69</v>
      </c>
      <c r="AN61" t="s">
        <v>72</v>
      </c>
      <c r="AO61" s="4" t="str">
        <f>HYPERLINK("http://exon.niaid.nih.gov/transcriptome/C_felis/S2/links/SWISSP/Cf-196-SWISSP.txt","60S ribosomal protein L23")</f>
        <v>60S ribosomal protein L23</v>
      </c>
      <c r="AP61" t="str">
        <f>HYPERLINK("http://www.uniprot.org/uniprot/P48159","1E-047")</f>
        <v>1E-047</v>
      </c>
      <c r="AQ61" t="s">
        <v>266</v>
      </c>
      <c r="AR61">
        <v>188</v>
      </c>
      <c r="AS61">
        <v>96</v>
      </c>
      <c r="AT61">
        <v>140</v>
      </c>
      <c r="AU61">
        <v>96</v>
      </c>
      <c r="AV61">
        <v>69</v>
      </c>
      <c r="AW61" t="s">
        <v>52</v>
      </c>
      <c r="AX61" s="4" t="s">
        <v>267</v>
      </c>
      <c r="AY61">
        <f>HYPERLINK("http://exon.niaid.nih.gov/transcriptome/C_felis/S2/links/GO/Cf-196-GO.txt",7E-48)</f>
        <v>6.9999999999999998E-48</v>
      </c>
      <c r="AZ61" t="str">
        <f t="shared" si="28"/>
        <v>GO:0003735</v>
      </c>
      <c r="BA61" t="s">
        <v>53</v>
      </c>
      <c r="BB61" t="s">
        <v>54</v>
      </c>
      <c r="BC61" t="s">
        <v>55</v>
      </c>
      <c r="BD61" t="s">
        <v>7</v>
      </c>
      <c r="BF61" s="5">
        <v>6.9999999999999998E-48</v>
      </c>
      <c r="BG61" t="str">
        <f>HYPERLINK("http://amigo.geneontology.org/cgi-bin/amigo/term_details?term=GO:0022625","GO:0022625")</f>
        <v>GO:0022625</v>
      </c>
      <c r="BH61" t="s">
        <v>56</v>
      </c>
      <c r="BI61" t="s">
        <v>57</v>
      </c>
      <c r="BJ61" t="s">
        <v>58</v>
      </c>
      <c r="BK61" t="s">
        <v>7</v>
      </c>
      <c r="BM61" s="5">
        <v>6.9999999999999998E-48</v>
      </c>
      <c r="BN61" t="str">
        <f t="shared" si="29"/>
        <v>GO:0006412</v>
      </c>
      <c r="BO61" t="s">
        <v>59</v>
      </c>
      <c r="BP61" t="s">
        <v>60</v>
      </c>
      <c r="BQ61" t="s">
        <v>61</v>
      </c>
      <c r="BR61" t="s">
        <v>7</v>
      </c>
      <c r="BT61" s="5">
        <v>6.9999999999999998E-48</v>
      </c>
      <c r="BU61" s="4" t="str">
        <f>HYPERLINK("http://exon.niaid.nih.gov/transcriptome/C_felis/S2/links/KOG/Cf-196-KOG.txt","60S ribosomal protein L14/L17/L23")</f>
        <v>60S ribosomal protein L14/L17/L23</v>
      </c>
      <c r="BV61" t="str">
        <f>HYPERLINK("http://www.ncbi.nlm.nih.gov/COG/grace/shokog.cgi?KOG0901","2E-032")</f>
        <v>2E-032</v>
      </c>
      <c r="BW61" t="s">
        <v>62</v>
      </c>
      <c r="BX61" t="str">
        <f>HYPERLINK("http://exon.niaid.nih.gov/transcriptome/C_felis/S2/links/KOG/Cf-196-KOG.txt","KOG0901")</f>
        <v>KOG0901</v>
      </c>
      <c r="BY61" s="4" t="str">
        <f>HYPERLINK("http://exon.niaid.nih.gov/transcriptome/C_felis/S2/links/CDD/Cf-196-CDD.txt","PTZ00054")</f>
        <v>PTZ00054</v>
      </c>
      <c r="BZ61" t="str">
        <f>HYPERLINK("http://www.ncbi.nlm.nih.gov/Structure/cdd/cddsrv.cgi?uid=PTZ00054&amp;version=v4.0","9E-048")</f>
        <v>9E-048</v>
      </c>
      <c r="CA61" t="s">
        <v>268</v>
      </c>
      <c r="CB61" s="4" t="str">
        <f>HYPERLINK("http://exon.niaid.nih.gov/transcriptome/C_felis/S2/links/PFAM/Cf-196-PFAM.txt","Ribosomal_L14")</f>
        <v>Ribosomal_L14</v>
      </c>
      <c r="CC61" t="str">
        <f>HYPERLINK("http://pfam.sanger.ac.uk/family?acc=PF00238","3E-026")</f>
        <v>3E-026</v>
      </c>
      <c r="CD61" s="4" t="str">
        <f>HYPERLINK("http://exon.niaid.nih.gov/transcriptome/C_felis/S2/links/SMART/Cf-196-SMART.txt","PAC")</f>
        <v>PAC</v>
      </c>
      <c r="CE61" t="str">
        <f>HYPERLINK("http://smart.embl-heidelberg.de/smart/do_annotation.pl?DOMAIN=PAC&amp;BLAST=DUMMY","0.13")</f>
        <v>0.13</v>
      </c>
      <c r="CF61" s="4" t="s">
        <v>7</v>
      </c>
      <c r="CG61" t="s">
        <v>7</v>
      </c>
      <c r="CH61" t="s">
        <v>7</v>
      </c>
      <c r="CI61" t="s">
        <v>7</v>
      </c>
      <c r="CJ61" t="s">
        <v>7</v>
      </c>
      <c r="CK61" s="7">
        <v>48</v>
      </c>
      <c r="CL61" s="2">
        <v>1</v>
      </c>
      <c r="CM61" s="7">
        <v>48</v>
      </c>
      <c r="CN61" s="2">
        <v>1</v>
      </c>
      <c r="CO61" s="7">
        <v>48</v>
      </c>
      <c r="CP61" s="2">
        <v>1</v>
      </c>
      <c r="CQ61" s="7">
        <v>35</v>
      </c>
      <c r="CR61" s="2">
        <v>1</v>
      </c>
      <c r="CS61" s="7">
        <v>40</v>
      </c>
      <c r="CT61" s="2">
        <v>1</v>
      </c>
      <c r="CU61" s="7">
        <v>47</v>
      </c>
      <c r="CV61" s="2">
        <v>1</v>
      </c>
      <c r="CW61" s="7">
        <v>46</v>
      </c>
      <c r="CX61" s="2">
        <v>1</v>
      </c>
      <c r="CY61" s="7">
        <v>49</v>
      </c>
      <c r="CZ61" s="2">
        <v>1</v>
      </c>
      <c r="DA61" s="7">
        <v>51</v>
      </c>
      <c r="DB61" s="2">
        <v>1</v>
      </c>
      <c r="DC61" s="7">
        <v>52</v>
      </c>
      <c r="DD61" s="2">
        <v>1</v>
      </c>
      <c r="DE61" s="7">
        <v>51</v>
      </c>
      <c r="DF61" s="2">
        <v>1</v>
      </c>
      <c r="DG61" s="7">
        <v>51</v>
      </c>
      <c r="DH61" s="2">
        <v>1</v>
      </c>
      <c r="DI61" s="7">
        <v>52</v>
      </c>
      <c r="DJ61" s="2">
        <v>1</v>
      </c>
      <c r="DK61" s="7">
        <v>52</v>
      </c>
      <c r="DL61" s="2">
        <v>1</v>
      </c>
      <c r="DM61" s="7">
        <v>54</v>
      </c>
      <c r="DN61" s="2">
        <v>1</v>
      </c>
      <c r="DO61" s="7">
        <v>53</v>
      </c>
      <c r="DP61" s="2">
        <v>1</v>
      </c>
      <c r="DQ61" s="7">
        <v>53</v>
      </c>
      <c r="DR61" s="2">
        <v>1</v>
      </c>
      <c r="DS61" s="7">
        <v>54</v>
      </c>
      <c r="DT61" s="2">
        <v>1</v>
      </c>
    </row>
    <row r="62" spans="1:124" x14ac:dyDescent="0.2">
      <c r="A62" t="str">
        <f>HYPERLINK("http://exon.niaid.nih.gov/transcriptome/C_felis/S2/links/pep/Cf-182-pep.txt","Cf-182")</f>
        <v>Cf-182</v>
      </c>
      <c r="B62" s="2">
        <v>4</v>
      </c>
      <c r="C62">
        <v>132</v>
      </c>
      <c r="D62" t="str">
        <f>HYPERLINK("http://exon.niaid.nih.gov/transcriptome/C_felis/S2/links/cds/Cf-182-cds.txt","Cf-182")</f>
        <v>Cf-182</v>
      </c>
      <c r="E62">
        <v>399</v>
      </c>
      <c r="F62" t="s">
        <v>484</v>
      </c>
      <c r="G62">
        <v>0</v>
      </c>
      <c r="I62" s="2" t="s">
        <v>14</v>
      </c>
      <c r="J62" s="2" t="s">
        <v>3</v>
      </c>
      <c r="K62" s="20" t="str">
        <f>HYPERLINK("http://exon.niaid.nih.gov/transcriptome/C_felis/S2/links/Sigp/Cf-182-SigP.txt","CYT")</f>
        <v>CYT</v>
      </c>
      <c r="L62" s="2" t="s">
        <v>7</v>
      </c>
      <c r="M62" s="2">
        <v>15.031000000000001</v>
      </c>
      <c r="N62" s="2">
        <v>11.15</v>
      </c>
      <c r="O62" s="2" t="s">
        <v>7</v>
      </c>
      <c r="P62" s="2" t="s">
        <v>7</v>
      </c>
      <c r="Q62" s="24" t="s">
        <v>556</v>
      </c>
      <c r="R62" s="20">
        <v>0</v>
      </c>
      <c r="S62" s="2" t="s">
        <v>7</v>
      </c>
      <c r="T62" s="2" t="s">
        <v>7</v>
      </c>
      <c r="U62" s="2" t="s">
        <v>7</v>
      </c>
      <c r="V62" s="2" t="s">
        <v>7</v>
      </c>
      <c r="W62" s="2" t="s">
        <v>7</v>
      </c>
      <c r="X62" s="20" t="str">
        <f>HYPERLINK("http://exon.niaid.nih.gov/transcriptome/C_felis/S2/links/netoglyc/CF-182-netoglyc.txt","0")</f>
        <v>0</v>
      </c>
      <c r="Y62" s="2">
        <v>7.6</v>
      </c>
      <c r="Z62" s="2">
        <v>9.1</v>
      </c>
      <c r="AA62" s="2">
        <v>6.1</v>
      </c>
      <c r="AB62" t="s">
        <v>437</v>
      </c>
      <c r="AC62" t="s">
        <v>438</v>
      </c>
      <c r="AD62" t="s">
        <v>484</v>
      </c>
      <c r="AE62" s="2">
        <v>4</v>
      </c>
      <c r="AF62" s="4" t="str">
        <f>HYPERLINK("http://exon.niaid.nih.gov/transcriptome/C_felis/S2/links/NR/Cf-182-NR.txt","similar to ribosomal protein L35Ae")</f>
        <v>similar to ribosomal protein L35Ae</v>
      </c>
      <c r="AG62" t="str">
        <f>HYPERLINK("http://www.ncbi.nlm.nih.gov/sutils/blink.cgi?pid=91094995","8E-059")</f>
        <v>8E-059</v>
      </c>
      <c r="AH62" t="str">
        <f>HYPERLINK("http://www.ncbi.nlm.nih.gov/protein/91094995","gi|91094995")</f>
        <v>gi|91094995</v>
      </c>
      <c r="AI62">
        <v>229</v>
      </c>
      <c r="AJ62">
        <v>136</v>
      </c>
      <c r="AK62">
        <v>143</v>
      </c>
      <c r="AL62">
        <v>81</v>
      </c>
      <c r="AM62">
        <v>96</v>
      </c>
      <c r="AN62" t="s">
        <v>72</v>
      </c>
      <c r="AO62" s="4" t="str">
        <f>HYPERLINK("http://exon.niaid.nih.gov/transcriptome/C_felis/S2/links/SWISSP/Cf-182-SWISSP.txt","60S ribosomal protein L35a")</f>
        <v>60S ribosomal protein L35a</v>
      </c>
      <c r="AP62" t="str">
        <f>HYPERLINK("http://www.uniprot.org/uniprot/Q5R8K6","4E-037")</f>
        <v>4E-037</v>
      </c>
      <c r="AQ62" t="s">
        <v>242</v>
      </c>
      <c r="AR62">
        <v>152</v>
      </c>
      <c r="AS62">
        <v>107</v>
      </c>
      <c r="AT62">
        <v>110</v>
      </c>
      <c r="AU62">
        <v>66</v>
      </c>
      <c r="AV62">
        <v>98</v>
      </c>
      <c r="AW62" t="s">
        <v>89</v>
      </c>
      <c r="AX62" s="4" t="s">
        <v>243</v>
      </c>
      <c r="AY62">
        <f>HYPERLINK("http://exon.niaid.nih.gov/transcriptome/C_felis/S2/links/GO/Cf-182-GO.txt",3E-45)</f>
        <v>3.0000000000000001E-45</v>
      </c>
      <c r="AZ62" t="str">
        <f t="shared" si="28"/>
        <v>GO:0003735</v>
      </c>
      <c r="BA62" t="s">
        <v>53</v>
      </c>
      <c r="BB62" t="s">
        <v>54</v>
      </c>
      <c r="BC62" t="s">
        <v>55</v>
      </c>
      <c r="BD62" t="s">
        <v>7</v>
      </c>
      <c r="BF62" s="5">
        <v>3.0000000000000001E-45</v>
      </c>
      <c r="BG62" t="str">
        <f>HYPERLINK("http://amigo.geneontology.org/cgi-bin/amigo/term_details?term=GO:0022625","GO:0022625")</f>
        <v>GO:0022625</v>
      </c>
      <c r="BH62" t="s">
        <v>56</v>
      </c>
      <c r="BI62" t="s">
        <v>57</v>
      </c>
      <c r="BJ62" t="s">
        <v>58</v>
      </c>
      <c r="BK62" t="s">
        <v>7</v>
      </c>
      <c r="BM62" s="5">
        <v>3.0000000000000001E-45</v>
      </c>
      <c r="BN62" t="str">
        <f t="shared" si="29"/>
        <v>GO:0006412</v>
      </c>
      <c r="BO62" t="s">
        <v>59</v>
      </c>
      <c r="BP62" t="s">
        <v>60</v>
      </c>
      <c r="BQ62" t="s">
        <v>61</v>
      </c>
      <c r="BR62" t="s">
        <v>7</v>
      </c>
      <c r="BT62" s="5">
        <v>3.0000000000000001E-45</v>
      </c>
      <c r="BU62" s="4" t="str">
        <f>HYPERLINK("http://exon.niaid.nih.gov/transcriptome/C_felis/S2/links/KOG/Cf-182-KOG.txt","60S ribosomal protein L35A/L37")</f>
        <v>60S ribosomal protein L35A/L37</v>
      </c>
      <c r="BV62" t="str">
        <f>HYPERLINK("http://www.ncbi.nlm.nih.gov/COG/grace/shokog.cgi?KOG0887","2E-033")</f>
        <v>2E-033</v>
      </c>
      <c r="BW62" t="s">
        <v>62</v>
      </c>
      <c r="BX62" t="str">
        <f>HYPERLINK("http://exon.niaid.nih.gov/transcriptome/C_felis/S2/links/KOG/Cf-182-KOG.txt","KOG0887")</f>
        <v>KOG0887</v>
      </c>
      <c r="BY62" s="4" t="str">
        <f>HYPERLINK("http://exon.niaid.nih.gov/transcriptome/C_felis/S2/links/CDD/Cf-182-CDD.txt","Ribosomal_L35Ae")</f>
        <v>Ribosomal_L35Ae</v>
      </c>
      <c r="BZ62" t="str">
        <f>HYPERLINK("http://www.ncbi.nlm.nih.gov/Structure/cdd/cddsrv.cgi?uid=pfam01247&amp;version=v4.0","6E-039")</f>
        <v>6E-039</v>
      </c>
      <c r="CA62" t="s">
        <v>244</v>
      </c>
      <c r="CB62" s="4" t="str">
        <f>HYPERLINK("http://exon.niaid.nih.gov/transcriptome/C_felis/S2/links/PFAM/Cf-182-PFAM.txt","Ribosomal_L35Ae")</f>
        <v>Ribosomal_L35Ae</v>
      </c>
      <c r="CC62" t="str">
        <f>HYPERLINK("http://pfam.sanger.ac.uk/family?acc=PF01247","1E-039")</f>
        <v>1E-039</v>
      </c>
      <c r="CD62" s="4" t="str">
        <f>HYPERLINK("http://exon.niaid.nih.gov/transcriptome/C_felis/S2/links/SMART/Cf-182-SMART.txt","RPOLA_N")</f>
        <v>RPOLA_N</v>
      </c>
      <c r="CE62" t="str">
        <f>HYPERLINK("http://smart.embl-heidelberg.de/smart/do_annotation.pl?DOMAIN=RPOLA_N&amp;BLAST=DUMMY","2.0")</f>
        <v>2.0</v>
      </c>
      <c r="CF62" s="4" t="s">
        <v>7</v>
      </c>
      <c r="CG62" t="s">
        <v>7</v>
      </c>
      <c r="CH62" t="s">
        <v>7</v>
      </c>
      <c r="CI62" t="s">
        <v>7</v>
      </c>
      <c r="CJ62" t="s">
        <v>7</v>
      </c>
      <c r="CK62" s="7">
        <v>41</v>
      </c>
      <c r="CL62" s="2">
        <v>1</v>
      </c>
      <c r="CM62" s="7">
        <v>41</v>
      </c>
      <c r="CN62" s="2">
        <v>1</v>
      </c>
      <c r="CO62" s="7">
        <v>41</v>
      </c>
      <c r="CP62" s="2">
        <v>1</v>
      </c>
      <c r="CQ62" s="7">
        <v>33</v>
      </c>
      <c r="CR62" s="2">
        <v>1</v>
      </c>
      <c r="CS62" s="7">
        <v>36</v>
      </c>
      <c r="CT62" s="2">
        <v>1</v>
      </c>
      <c r="CU62" s="7">
        <v>42</v>
      </c>
      <c r="CV62" s="2">
        <v>1</v>
      </c>
      <c r="CW62" s="7">
        <v>41</v>
      </c>
      <c r="CX62" s="2">
        <v>1</v>
      </c>
      <c r="CY62" s="7">
        <v>43</v>
      </c>
      <c r="CZ62" s="2">
        <v>1</v>
      </c>
      <c r="DA62" s="7">
        <v>44</v>
      </c>
      <c r="DB62" s="2">
        <v>1</v>
      </c>
      <c r="DC62" s="7">
        <v>45</v>
      </c>
      <c r="DD62" s="2">
        <v>1</v>
      </c>
      <c r="DE62" s="7">
        <v>44</v>
      </c>
      <c r="DF62" s="2">
        <v>1</v>
      </c>
      <c r="DG62" s="7">
        <v>44</v>
      </c>
      <c r="DH62" s="2">
        <v>1</v>
      </c>
      <c r="DI62" s="7">
        <v>45</v>
      </c>
      <c r="DJ62" s="2">
        <v>1</v>
      </c>
      <c r="DK62" s="7">
        <v>45</v>
      </c>
      <c r="DL62" s="2">
        <v>1</v>
      </c>
      <c r="DM62" s="7">
        <v>47</v>
      </c>
      <c r="DN62" s="2">
        <v>1</v>
      </c>
      <c r="DO62" s="7">
        <v>46</v>
      </c>
      <c r="DP62" s="2">
        <v>1</v>
      </c>
      <c r="DQ62" s="7">
        <v>46</v>
      </c>
      <c r="DR62" s="2">
        <v>1</v>
      </c>
      <c r="DS62" s="7">
        <v>46</v>
      </c>
      <c r="DT62" s="2">
        <v>1</v>
      </c>
    </row>
    <row r="63" spans="1:124" x14ac:dyDescent="0.2">
      <c r="A63" t="str">
        <f>HYPERLINK("http://exon.niaid.nih.gov/transcriptome/C_felis/S2/links/pep/Cf-180-pep.txt","Cf-180")</f>
        <v>Cf-180</v>
      </c>
      <c r="B63" s="2">
        <v>3</v>
      </c>
      <c r="C63">
        <v>149</v>
      </c>
      <c r="D63" t="str">
        <f>HYPERLINK("http://exon.niaid.nih.gov/transcriptome/C_felis/S2/links/cds/Cf-180-cds.txt","Cf-180")</f>
        <v>Cf-180</v>
      </c>
      <c r="E63">
        <v>450</v>
      </c>
      <c r="F63" t="s">
        <v>482</v>
      </c>
      <c r="G63">
        <v>0</v>
      </c>
      <c r="I63" s="2" t="s">
        <v>9</v>
      </c>
      <c r="J63" s="2" t="s">
        <v>3</v>
      </c>
      <c r="K63" s="20" t="str">
        <f>HYPERLINK("http://exon.niaid.nih.gov/transcriptome/C_felis/S2/links/Sigp/Cf-180-SigP.txt","CYT")</f>
        <v>CYT</v>
      </c>
      <c r="L63" s="2" t="s">
        <v>7</v>
      </c>
      <c r="M63" s="2">
        <v>17.347000000000001</v>
      </c>
      <c r="N63" s="2">
        <v>10.75</v>
      </c>
      <c r="O63" s="2" t="s">
        <v>7</v>
      </c>
      <c r="P63" s="2" t="s">
        <v>7</v>
      </c>
      <c r="Q63" s="24" t="s">
        <v>556</v>
      </c>
      <c r="R63" s="20">
        <v>0</v>
      </c>
      <c r="S63" s="2" t="s">
        <v>7</v>
      </c>
      <c r="T63" s="2" t="s">
        <v>7</v>
      </c>
      <c r="U63" s="2" t="s">
        <v>7</v>
      </c>
      <c r="V63" s="2" t="s">
        <v>7</v>
      </c>
      <c r="W63" s="2" t="s">
        <v>7</v>
      </c>
      <c r="X63" s="20" t="str">
        <f>HYPERLINK("http://exon.niaid.nih.gov/transcriptome/C_felis/S2/links/netoglyc/CF-180-netoglyc.txt","1")</f>
        <v>1</v>
      </c>
      <c r="Y63" s="2">
        <v>12.1</v>
      </c>
      <c r="Z63" s="2">
        <v>5.4</v>
      </c>
      <c r="AA63" s="2">
        <v>2.7</v>
      </c>
      <c r="AB63" t="s">
        <v>437</v>
      </c>
      <c r="AC63" t="s">
        <v>438</v>
      </c>
      <c r="AD63" t="s">
        <v>482</v>
      </c>
      <c r="AE63" s="2">
        <v>3</v>
      </c>
      <c r="AF63" s="4" t="str">
        <f>HYPERLINK("http://exon.niaid.nih.gov/transcriptome/C_felis/S2/links/NR/Cf-180-NR.txt","similar to ribosomal protein L26e")</f>
        <v>similar to ribosomal protein L26e</v>
      </c>
      <c r="AG63" t="str">
        <f>HYPERLINK("http://www.ncbi.nlm.nih.gov/sutils/blink.cgi?pid=91093619","2E-068")</f>
        <v>2E-068</v>
      </c>
      <c r="AH63" t="str">
        <f>HYPERLINK("http://www.ncbi.nlm.nih.gov/protein/91093619","gi|91093619")</f>
        <v>gi|91093619</v>
      </c>
      <c r="AI63">
        <v>262</v>
      </c>
      <c r="AJ63">
        <v>144</v>
      </c>
      <c r="AK63">
        <v>150</v>
      </c>
      <c r="AL63">
        <v>88</v>
      </c>
      <c r="AM63">
        <v>97</v>
      </c>
      <c r="AN63" t="s">
        <v>72</v>
      </c>
      <c r="AO63" s="4" t="str">
        <f>HYPERLINK("http://exon.niaid.nih.gov/transcriptome/C_felis/S2/links/SWISSP/Cf-180-SWISSP.txt","60S ribosomal protein L26")</f>
        <v>60S ribosomal protein L26</v>
      </c>
      <c r="AP63" t="str">
        <f>HYPERLINK("http://www.uniprot.org/uniprot/Q95WA0","6E-060")</f>
        <v>6E-060</v>
      </c>
      <c r="AQ63" t="s">
        <v>236</v>
      </c>
      <c r="AR63">
        <v>229</v>
      </c>
      <c r="AS63">
        <v>139</v>
      </c>
      <c r="AT63">
        <v>144</v>
      </c>
      <c r="AU63">
        <v>80</v>
      </c>
      <c r="AV63">
        <v>97</v>
      </c>
      <c r="AW63" t="s">
        <v>237</v>
      </c>
      <c r="AX63" s="4" t="s">
        <v>238</v>
      </c>
      <c r="AY63">
        <f>HYPERLINK("http://exon.niaid.nih.gov/transcriptome/C_felis/S2/links/GO/Cf-180-GO.txt",6E-63)</f>
        <v>5.9999999999999996E-63</v>
      </c>
      <c r="AZ63" t="str">
        <f t="shared" si="28"/>
        <v>GO:0003735</v>
      </c>
      <c r="BA63" t="s">
        <v>53</v>
      </c>
      <c r="BB63" t="s">
        <v>54</v>
      </c>
      <c r="BC63" t="s">
        <v>55</v>
      </c>
      <c r="BD63" t="s">
        <v>7</v>
      </c>
      <c r="BF63" s="5">
        <v>5.9999999999999996E-63</v>
      </c>
      <c r="BG63" t="str">
        <f>HYPERLINK("http://amigo.geneontology.org/cgi-bin/amigo/term_details?term=GO:0022625","GO:0022625")</f>
        <v>GO:0022625</v>
      </c>
      <c r="BH63" t="s">
        <v>56</v>
      </c>
      <c r="BI63" t="s">
        <v>57</v>
      </c>
      <c r="BJ63" t="s">
        <v>58</v>
      </c>
      <c r="BK63" t="s">
        <v>7</v>
      </c>
      <c r="BM63" s="5">
        <v>5.9999999999999996E-63</v>
      </c>
      <c r="BN63" t="str">
        <f t="shared" si="29"/>
        <v>GO:0006412</v>
      </c>
      <c r="BO63" t="s">
        <v>59</v>
      </c>
      <c r="BP63" t="s">
        <v>60</v>
      </c>
      <c r="BQ63" t="s">
        <v>61</v>
      </c>
      <c r="BR63" t="s">
        <v>7</v>
      </c>
      <c r="BT63" s="5">
        <v>5.9999999999999996E-63</v>
      </c>
      <c r="BU63" s="4" t="str">
        <f>HYPERLINK("http://exon.niaid.nih.gov/transcriptome/C_felis/S2/links/KOG/Cf-180-KOG.txt","60S ribosomal protein L26")</f>
        <v>60S ribosomal protein L26</v>
      </c>
      <c r="BV63" t="str">
        <f>HYPERLINK("http://www.ncbi.nlm.nih.gov/COG/grace/shokog.cgi?KOG3401","9E-045")</f>
        <v>9E-045</v>
      </c>
      <c r="BW63" t="s">
        <v>62</v>
      </c>
      <c r="BX63" t="str">
        <f>HYPERLINK("http://exon.niaid.nih.gov/transcriptome/C_felis/S2/links/KOG/Cf-180-KOG.txt","KOG3401")</f>
        <v>KOG3401</v>
      </c>
      <c r="BY63" s="4" t="str">
        <f>HYPERLINK("http://exon.niaid.nih.gov/transcriptome/C_felis/S2/links/CDD/Cf-180-CDD.txt","PTZ00194")</f>
        <v>PTZ00194</v>
      </c>
      <c r="BZ63" t="str">
        <f>HYPERLINK("http://www.ncbi.nlm.nih.gov/Structure/cdd/cddsrv.cgi?uid=PTZ00194&amp;version=v4.0","1E-044")</f>
        <v>1E-044</v>
      </c>
      <c r="CA63" t="s">
        <v>239</v>
      </c>
      <c r="CB63" s="4" t="str">
        <f>HYPERLINK("http://exon.niaid.nih.gov/transcriptome/C_felis/S2/links/PFAM/Cf-180-PFAM.txt","KOW")</f>
        <v>KOW</v>
      </c>
      <c r="CC63" t="str">
        <f>HYPERLINK("http://pfam.sanger.ac.uk/family?acc=PF00467","0.003")</f>
        <v>0.003</v>
      </c>
      <c r="CD63" s="4" t="str">
        <f>HYPERLINK("http://exon.niaid.nih.gov/transcriptome/C_felis/S2/links/SMART/Cf-180-SMART.txt","KOW")</f>
        <v>KOW</v>
      </c>
      <c r="CE63" t="str">
        <f>HYPERLINK("http://smart.embl-heidelberg.de/smart/do_annotation.pl?DOMAIN=KOW&amp;BLAST=DUMMY","0.003")</f>
        <v>0.003</v>
      </c>
      <c r="CF63" s="4" t="s">
        <v>7</v>
      </c>
      <c r="CG63" t="s">
        <v>7</v>
      </c>
      <c r="CH63" t="s">
        <v>7</v>
      </c>
      <c r="CI63" t="s">
        <v>7</v>
      </c>
      <c r="CJ63" t="s">
        <v>7</v>
      </c>
      <c r="CK63" s="7">
        <f>HYPERLINK("http://exon.niaid.nih.gov/transcriptome/C_felis/S2/links/cluster/cf-pep95-2-Id-CLU13.txt", 13)</f>
        <v>13</v>
      </c>
      <c r="CL63" s="2">
        <f>HYPERLINK("http://exon.niaid.nih.gov/transcriptome/C_felis/S2/links/cluster/cf-pep95-2-Id-CLTL13.txt", 2)</f>
        <v>2</v>
      </c>
      <c r="CM63" s="7">
        <f>HYPERLINK("http://exon.niaid.nih.gov/transcriptome/C_felis/S2/links/cluster/cf-pep100-3-Id-CLU13.txt", 13)</f>
        <v>13</v>
      </c>
      <c r="CN63" s="2">
        <f>HYPERLINK("http://exon.niaid.nih.gov/transcriptome/C_felis/S2/links/cluster/cf-pep100-3-Id-CLTL13.txt", 2)</f>
        <v>2</v>
      </c>
      <c r="CO63" s="7">
        <f>HYPERLINK("http://exon.niaid.nih.gov/transcriptome/C_felis/S2/links/cluster/cf-pep100-4-Id-CLU13.txt", 13)</f>
        <v>13</v>
      </c>
      <c r="CP63" s="2">
        <f>HYPERLINK("http://exon.niaid.nih.gov/transcriptome/C_felis/S2/links/cluster/cf-pep100-4-Id-CLTL13.txt", 2)</f>
        <v>2</v>
      </c>
      <c r="CQ63" s="7">
        <f>HYPERLINK("http://exon.niaid.nih.gov/transcriptome/C_felis/S2/links/cluster/cf-pep25-50-Sim-CLU3.txt", 3)</f>
        <v>3</v>
      </c>
      <c r="CR63" s="2">
        <f>HYPERLINK("http://exon.niaid.nih.gov/transcriptome/C_felis/S2/links/cluster/cf-pep25-50-Sim-CLTL3.txt", 10)</f>
        <v>10</v>
      </c>
      <c r="CS63" s="7">
        <f>HYPERLINK("http://exon.niaid.nih.gov/transcriptome/C_felis/S2/links/cluster/cf-pep30-50-Sim-CLU14.txt", 14)</f>
        <v>14</v>
      </c>
      <c r="CT63" s="2">
        <f>HYPERLINK("http://exon.niaid.nih.gov/transcriptome/C_felis/S2/links/cluster/cf-pep30-50-Sim-CLTL14.txt", 2)</f>
        <v>2</v>
      </c>
      <c r="CU63" s="7">
        <f>HYPERLINK("http://exon.niaid.nih.gov/transcriptome/C_felis/S2/links/cluster/cf-pep35-50-Sim-CLU14.txt", 14)</f>
        <v>14</v>
      </c>
      <c r="CV63" s="2">
        <f>HYPERLINK("http://exon.niaid.nih.gov/transcriptome/C_felis/S2/links/cluster/cf-pep35-50-Sim-CLTL14.txt", 2)</f>
        <v>2</v>
      </c>
      <c r="CW63" s="7">
        <f>HYPERLINK("http://exon.niaid.nih.gov/transcriptome/C_felis/S2/links/cluster/cf-pep40-50-Sim-CLU13.txt", 13)</f>
        <v>13</v>
      </c>
      <c r="CX63" s="2">
        <f>HYPERLINK("http://exon.niaid.nih.gov/transcriptome/C_felis/S2/links/cluster/cf-pep40-50-Sim-CLTL13.txt", 2)</f>
        <v>2</v>
      </c>
      <c r="CY63" s="7">
        <f>HYPERLINK("http://exon.niaid.nih.gov/transcriptome/C_felis/S2/links/cluster/cf-pep45-50-Sim-CLU14.txt", 14)</f>
        <v>14</v>
      </c>
      <c r="CZ63" s="2">
        <f>HYPERLINK("http://exon.niaid.nih.gov/transcriptome/C_felis/S2/links/cluster/cf-pep45-50-Sim-CLTL14.txt", 2)</f>
        <v>2</v>
      </c>
      <c r="DA63" s="7">
        <f>HYPERLINK("http://exon.niaid.nih.gov/transcriptome/C_felis/S2/links/cluster/cf-pep50-50-Sim-CLU15.txt", 15)</f>
        <v>15</v>
      </c>
      <c r="DB63" s="2">
        <f>HYPERLINK("http://exon.niaid.nih.gov/transcriptome/C_felis/S2/links/cluster/cf-pep50-50-Sim-CLTL15.txt", 2)</f>
        <v>2</v>
      </c>
      <c r="DC63" s="7">
        <v>43</v>
      </c>
      <c r="DD63" s="2">
        <v>1</v>
      </c>
      <c r="DE63" s="7">
        <v>42</v>
      </c>
      <c r="DF63" s="2">
        <v>1</v>
      </c>
      <c r="DG63" s="7">
        <v>42</v>
      </c>
      <c r="DH63" s="2">
        <v>1</v>
      </c>
      <c r="DI63" s="7">
        <v>43</v>
      </c>
      <c r="DJ63" s="2">
        <v>1</v>
      </c>
      <c r="DK63" s="7">
        <v>43</v>
      </c>
      <c r="DL63" s="2">
        <v>1</v>
      </c>
      <c r="DM63" s="7">
        <v>45</v>
      </c>
      <c r="DN63" s="2">
        <v>1</v>
      </c>
      <c r="DO63" s="7">
        <v>44</v>
      </c>
      <c r="DP63" s="2">
        <v>1</v>
      </c>
      <c r="DQ63" s="7">
        <v>44</v>
      </c>
      <c r="DR63" s="2">
        <v>1</v>
      </c>
      <c r="DS63" s="7">
        <v>44</v>
      </c>
      <c r="DT63" s="2">
        <v>1</v>
      </c>
    </row>
    <row r="64" spans="1:124" x14ac:dyDescent="0.2">
      <c r="A64" t="str">
        <f>HYPERLINK("http://exon.niaid.nih.gov/transcriptome/C_felis/S2/links/pep/Cf-139-pep.txt","Cf-139")</f>
        <v>Cf-139</v>
      </c>
      <c r="B64" s="2">
        <v>3</v>
      </c>
      <c r="C64">
        <v>171</v>
      </c>
      <c r="D64" t="str">
        <f>HYPERLINK("http://exon.niaid.nih.gov/transcriptome/C_felis/S2/links/cds/Cf-139-cds.txt","Cf-139")</f>
        <v>Cf-139</v>
      </c>
      <c r="E64">
        <v>516</v>
      </c>
      <c r="F64" t="s">
        <v>440</v>
      </c>
      <c r="G64">
        <v>2.339181</v>
      </c>
      <c r="I64" s="2" t="s">
        <v>11</v>
      </c>
      <c r="J64" s="2" t="s">
        <v>3</v>
      </c>
      <c r="K64" s="20" t="str">
        <f>HYPERLINK("http://exon.niaid.nih.gov/transcriptome/C_felis/S2/links/Sigp/Cf-139-SigP.txt","CYT")</f>
        <v>CYT</v>
      </c>
      <c r="L64" s="2" t="s">
        <v>7</v>
      </c>
      <c r="M64" s="2">
        <v>19.286999999999999</v>
      </c>
      <c r="N64" s="2">
        <v>10.59</v>
      </c>
      <c r="O64" s="2" t="s">
        <v>7</v>
      </c>
      <c r="P64" s="2" t="s">
        <v>7</v>
      </c>
      <c r="Q64" s="24" t="s">
        <v>556</v>
      </c>
      <c r="R64" s="20">
        <v>0</v>
      </c>
      <c r="S64" s="2" t="s">
        <v>7</v>
      </c>
      <c r="T64" s="2" t="s">
        <v>7</v>
      </c>
      <c r="U64" s="2" t="s">
        <v>7</v>
      </c>
      <c r="V64" s="2" t="s">
        <v>7</v>
      </c>
      <c r="W64" s="2" t="s">
        <v>7</v>
      </c>
      <c r="X64" s="20" t="str">
        <f>HYPERLINK("http://exon.niaid.nih.gov/transcriptome/C_felis/S2/links/netoglyc/CF-139-netoglyc.txt","0")</f>
        <v>0</v>
      </c>
      <c r="Y64" s="2">
        <v>5.8</v>
      </c>
      <c r="Z64" s="2">
        <v>8.8000000000000007</v>
      </c>
      <c r="AA64" s="2">
        <v>1.8</v>
      </c>
      <c r="AB64" t="s">
        <v>437</v>
      </c>
      <c r="AC64" t="s">
        <v>438</v>
      </c>
      <c r="AD64" t="s">
        <v>440</v>
      </c>
      <c r="AE64" s="2">
        <v>3</v>
      </c>
      <c r="AF64" s="4" t="str">
        <f>HYPERLINK("http://exon.niaid.nih.gov/transcriptome/C_felis/S2/links/NR/Cf-139-NR.txt","similar to S9e ribosomal protein isoform 1")</f>
        <v>similar to S9e ribosomal protein isoform 1</v>
      </c>
      <c r="AG64" t="str">
        <f>HYPERLINK("http://www.ncbi.nlm.nih.gov/sutils/blink.cgi?pid=91089607","5E-083")</f>
        <v>5E-083</v>
      </c>
      <c r="AH64" t="str">
        <f>HYPERLINK("http://www.ncbi.nlm.nih.gov/protein/91089607","gi|91089607")</f>
        <v>gi|91089607</v>
      </c>
      <c r="AI64">
        <v>310</v>
      </c>
      <c r="AJ64">
        <v>168</v>
      </c>
      <c r="AK64">
        <v>194</v>
      </c>
      <c r="AL64">
        <v>93</v>
      </c>
      <c r="AM64">
        <v>87</v>
      </c>
      <c r="AN64" t="s">
        <v>72</v>
      </c>
      <c r="AO64" s="4" t="str">
        <f>HYPERLINK("http://exon.niaid.nih.gov/transcriptome/C_felis/S2/links/SWISSP/Cf-139-SWISSP.txt","40S ribosomal protein S9")</f>
        <v>40S ribosomal protein S9</v>
      </c>
      <c r="AP64" t="str">
        <f>HYPERLINK("http://www.uniprot.org/uniprot/P55935","2E-082")</f>
        <v>2E-082</v>
      </c>
      <c r="AQ64" t="s">
        <v>77</v>
      </c>
      <c r="AR64">
        <v>304</v>
      </c>
      <c r="AS64">
        <v>169</v>
      </c>
      <c r="AT64">
        <v>195</v>
      </c>
      <c r="AU64">
        <v>92</v>
      </c>
      <c r="AV64">
        <v>87</v>
      </c>
      <c r="AW64" t="s">
        <v>52</v>
      </c>
      <c r="AX64" s="4" t="s">
        <v>78</v>
      </c>
      <c r="AY64">
        <f>HYPERLINK("http://exon.niaid.nih.gov/transcriptome/C_felis/S2/links/GO/Cf-139-GO.txt",2E-82)</f>
        <v>1.9999999999999999E-82</v>
      </c>
      <c r="AZ64" t="str">
        <f t="shared" si="28"/>
        <v>GO:0003735</v>
      </c>
      <c r="BA64" t="s">
        <v>53</v>
      </c>
      <c r="BB64" t="s">
        <v>54</v>
      </c>
      <c r="BC64" t="s">
        <v>55</v>
      </c>
      <c r="BD64" t="s">
        <v>7</v>
      </c>
      <c r="BF64" s="5">
        <v>1.9999999999999999E-82</v>
      </c>
      <c r="BG64" t="str">
        <f>HYPERLINK("http://amigo.geneontology.org/cgi-bin/amigo/term_details?term=GO:0022627","GO:0022627")</f>
        <v>GO:0022627</v>
      </c>
      <c r="BH64" t="s">
        <v>79</v>
      </c>
      <c r="BI64" t="s">
        <v>80</v>
      </c>
      <c r="BJ64" t="s">
        <v>81</v>
      </c>
      <c r="BK64" t="s">
        <v>7</v>
      </c>
      <c r="BM64" s="5">
        <v>1.9999999999999999E-82</v>
      </c>
      <c r="BN64" t="str">
        <f t="shared" si="29"/>
        <v>GO:0006412</v>
      </c>
      <c r="BO64" t="s">
        <v>59</v>
      </c>
      <c r="BP64" t="s">
        <v>60</v>
      </c>
      <c r="BQ64" t="s">
        <v>61</v>
      </c>
      <c r="BR64" t="s">
        <v>7</v>
      </c>
      <c r="BT64" s="5">
        <v>1.9999999999999999E-82</v>
      </c>
      <c r="BU64" s="4" t="str">
        <f>HYPERLINK("http://exon.niaid.nih.gov/transcriptome/C_felis/S2/links/KOG/Cf-139-KOG.txt","Ribosomal protein S4")</f>
        <v>Ribosomal protein S4</v>
      </c>
      <c r="BV64" t="str">
        <f>HYPERLINK("http://www.ncbi.nlm.nih.gov/COG/grace/shokog.cgi?KOG3301","2E-056")</f>
        <v>2E-056</v>
      </c>
      <c r="BW64" t="s">
        <v>62</v>
      </c>
      <c r="BX64" t="str">
        <f>HYPERLINK("http://exon.niaid.nih.gov/transcriptome/C_felis/S2/links/KOG/Cf-139-KOG.txt","KOG3301")</f>
        <v>KOG3301</v>
      </c>
      <c r="BY64" s="4" t="str">
        <f>HYPERLINK("http://exon.niaid.nih.gov/transcriptome/C_felis/S2/links/CDD/Cf-139-CDD.txt","PTZ00155")</f>
        <v>PTZ00155</v>
      </c>
      <c r="BZ64" t="str">
        <f>HYPERLINK("http://www.ncbi.nlm.nih.gov/Structure/cdd/cddsrv.cgi?uid=PTZ00155&amp;version=v4.0","1E-071")</f>
        <v>1E-071</v>
      </c>
      <c r="CA64" t="s">
        <v>82</v>
      </c>
      <c r="CB64" s="4" t="str">
        <f>HYPERLINK("http://exon.niaid.nih.gov/transcriptome/C_felis/S2/links/PFAM/Cf-139-PFAM.txt","Ribosomal_S4")</f>
        <v>Ribosomal_S4</v>
      </c>
      <c r="CC64" t="str">
        <f>HYPERLINK("http://pfam.sanger.ac.uk/family?acc=PF00163","2E-012")</f>
        <v>2E-012</v>
      </c>
      <c r="CD64" s="4" t="str">
        <f>HYPERLINK("http://exon.niaid.nih.gov/transcriptome/C_felis/S2/links/SMART/Cf-139-SMART.txt","S4")</f>
        <v>S4</v>
      </c>
      <c r="CE64" t="str">
        <f>HYPERLINK("http://smart.embl-heidelberg.de/smart/do_annotation.pl?DOMAIN=S4&amp;BLAST=DUMMY","3E-006")</f>
        <v>3E-006</v>
      </c>
      <c r="CF64" s="4" t="s">
        <v>7</v>
      </c>
      <c r="CG64" t="s">
        <v>7</v>
      </c>
      <c r="CH64" t="s">
        <v>7</v>
      </c>
      <c r="CI64" t="s">
        <v>7</v>
      </c>
      <c r="CJ64" t="s">
        <v>7</v>
      </c>
      <c r="CK64" s="7">
        <f>HYPERLINK("http://exon.niaid.nih.gov/transcriptome/C_felis/S2/links/cluster/cf-pep95-2-Id-CLU9.txt", 9)</f>
        <v>9</v>
      </c>
      <c r="CL64" s="2">
        <f>HYPERLINK("http://exon.niaid.nih.gov/transcriptome/C_felis/S2/links/cluster/cf-pep95-2-Id-CLTL9.txt", 2)</f>
        <v>2</v>
      </c>
      <c r="CM64" s="7">
        <f>HYPERLINK("http://exon.niaid.nih.gov/transcriptome/C_felis/S2/links/cluster/cf-pep100-3-Id-CLU9.txt", 9)</f>
        <v>9</v>
      </c>
      <c r="CN64" s="2">
        <f>HYPERLINK("http://exon.niaid.nih.gov/transcriptome/C_felis/S2/links/cluster/cf-pep100-3-Id-CLTL9.txt", 2)</f>
        <v>2</v>
      </c>
      <c r="CO64" s="7">
        <f>HYPERLINK("http://exon.niaid.nih.gov/transcriptome/C_felis/S2/links/cluster/cf-pep100-4-Id-CLU9.txt", 9)</f>
        <v>9</v>
      </c>
      <c r="CP64" s="2">
        <f>HYPERLINK("http://exon.niaid.nih.gov/transcriptome/C_felis/S2/links/cluster/cf-pep100-4-Id-CLTL9.txt", 2)</f>
        <v>2</v>
      </c>
      <c r="CQ64" s="7">
        <f>HYPERLINK("http://exon.niaid.nih.gov/transcriptome/C_felis/S2/links/cluster/cf-pep25-50-Sim-CLU10.txt", 10)</f>
        <v>10</v>
      </c>
      <c r="CR64" s="2">
        <f>HYPERLINK("http://exon.niaid.nih.gov/transcriptome/C_felis/S2/links/cluster/cf-pep25-50-Sim-CLTL10.txt", 2)</f>
        <v>2</v>
      </c>
      <c r="CS64" s="7">
        <f>HYPERLINK("http://exon.niaid.nih.gov/transcriptome/C_felis/S2/links/cluster/cf-pep30-50-Sim-CLU11.txt", 11)</f>
        <v>11</v>
      </c>
      <c r="CT64" s="2">
        <f>HYPERLINK("http://exon.niaid.nih.gov/transcriptome/C_felis/S2/links/cluster/cf-pep30-50-Sim-CLTL11.txt", 2)</f>
        <v>2</v>
      </c>
      <c r="CU64" s="7">
        <f>HYPERLINK("http://exon.niaid.nih.gov/transcriptome/C_felis/S2/links/cluster/cf-pep35-50-Sim-CLU11.txt", 11)</f>
        <v>11</v>
      </c>
      <c r="CV64" s="2">
        <f>HYPERLINK("http://exon.niaid.nih.gov/transcriptome/C_felis/S2/links/cluster/cf-pep35-50-Sim-CLTL11.txt", 2)</f>
        <v>2</v>
      </c>
      <c r="CW64" s="7">
        <f>HYPERLINK("http://exon.niaid.nih.gov/transcriptome/C_felis/S2/links/cluster/cf-pep40-50-Sim-CLU10.txt", 10)</f>
        <v>10</v>
      </c>
      <c r="CX64" s="2">
        <f>HYPERLINK("http://exon.niaid.nih.gov/transcriptome/C_felis/S2/links/cluster/cf-pep40-50-Sim-CLTL10.txt", 2)</f>
        <v>2</v>
      </c>
      <c r="CY64" s="7">
        <f>HYPERLINK("http://exon.niaid.nih.gov/transcriptome/C_felis/S2/links/cluster/cf-pep45-50-Sim-CLU11.txt", 11)</f>
        <v>11</v>
      </c>
      <c r="CZ64" s="2">
        <f>HYPERLINK("http://exon.niaid.nih.gov/transcriptome/C_felis/S2/links/cluster/cf-pep45-50-Sim-CLTL11.txt", 2)</f>
        <v>2</v>
      </c>
      <c r="DA64" s="7">
        <f>HYPERLINK("http://exon.niaid.nih.gov/transcriptome/C_felis/S2/links/cluster/cf-pep50-50-Sim-CLU12.txt", 12)</f>
        <v>12</v>
      </c>
      <c r="DB64" s="2">
        <f>HYPERLINK("http://exon.niaid.nih.gov/transcriptome/C_felis/S2/links/cluster/cf-pep50-50-Sim-CLTL12.txt", 2)</f>
        <v>2</v>
      </c>
      <c r="DC64" s="7">
        <f>HYPERLINK("http://exon.niaid.nih.gov/transcriptome/C_felis/S2/links/cluster/cf-pep55-50-Sim-CLU11.txt", 11)</f>
        <v>11</v>
      </c>
      <c r="DD64" s="2">
        <f>HYPERLINK("http://exon.niaid.nih.gov/transcriptome/C_felis/S2/links/cluster/cf-pep55-50-Sim-CLTL11.txt", 2)</f>
        <v>2</v>
      </c>
      <c r="DE64" s="7">
        <f>HYPERLINK("http://exon.niaid.nih.gov/transcriptome/C_felis/S2/links/cluster/cf-pep60-50-Sim-CLU9.txt", 9)</f>
        <v>9</v>
      </c>
      <c r="DF64" s="2">
        <f>HYPERLINK("http://exon.niaid.nih.gov/transcriptome/C_felis/S2/links/cluster/cf-pep60-50-Sim-CLTL9.txt", 2)</f>
        <v>2</v>
      </c>
      <c r="DG64" s="7">
        <v>24</v>
      </c>
      <c r="DH64" s="2">
        <v>1</v>
      </c>
      <c r="DI64" s="7">
        <v>25</v>
      </c>
      <c r="DJ64" s="2">
        <v>1</v>
      </c>
      <c r="DK64" s="7">
        <v>25</v>
      </c>
      <c r="DL64" s="2">
        <v>1</v>
      </c>
      <c r="DM64" s="7">
        <v>24</v>
      </c>
      <c r="DN64" s="2">
        <v>1</v>
      </c>
      <c r="DO64" s="7">
        <v>22</v>
      </c>
      <c r="DP64" s="2">
        <v>1</v>
      </c>
      <c r="DQ64" s="7">
        <v>21</v>
      </c>
      <c r="DR64" s="2">
        <v>1</v>
      </c>
      <c r="DS64" s="7">
        <v>19</v>
      </c>
      <c r="DT64" s="2">
        <v>1</v>
      </c>
    </row>
    <row r="65" spans="1:124" x14ac:dyDescent="0.2">
      <c r="A65" t="str">
        <f>HYPERLINK("http://exon.niaid.nih.gov/transcriptome/C_felis/S2/links/pep/Cf-141-pep.txt","Cf-141")</f>
        <v>Cf-141</v>
      </c>
      <c r="B65" s="2">
        <v>1</v>
      </c>
      <c r="C65">
        <v>113</v>
      </c>
      <c r="D65" t="str">
        <f>HYPERLINK("http://exon.niaid.nih.gov/transcriptome/C_felis/S2/links/cds/Cf-141-cds.txt","Cf-141")</f>
        <v>Cf-141</v>
      </c>
      <c r="E65">
        <v>342</v>
      </c>
      <c r="F65" t="s">
        <v>466</v>
      </c>
      <c r="G65">
        <v>0</v>
      </c>
      <c r="I65" s="2" t="s">
        <v>5</v>
      </c>
      <c r="J65" s="2" t="s">
        <v>3</v>
      </c>
      <c r="K65" s="20" t="str">
        <f>HYPERLINK("http://exon.niaid.nih.gov/transcriptome/C_felis/S2/links/Sigp/Cf-141-SigP.txt","CYT")</f>
        <v>CYT</v>
      </c>
      <c r="L65" s="2" t="s">
        <v>7</v>
      </c>
      <c r="M65" s="2">
        <v>12.802</v>
      </c>
      <c r="N65" s="2">
        <v>10.73</v>
      </c>
      <c r="O65" s="2" t="s">
        <v>7</v>
      </c>
      <c r="P65" s="2" t="s">
        <v>7</v>
      </c>
      <c r="Q65" s="24" t="s">
        <v>573</v>
      </c>
      <c r="R65" s="20">
        <v>0</v>
      </c>
      <c r="S65" s="2" t="s">
        <v>7</v>
      </c>
      <c r="T65" s="2" t="s">
        <v>7</v>
      </c>
      <c r="U65" s="2" t="s">
        <v>7</v>
      </c>
      <c r="V65" s="2" t="s">
        <v>7</v>
      </c>
      <c r="W65" s="2" t="s">
        <v>7</v>
      </c>
      <c r="X65" s="20" t="str">
        <f>HYPERLINK("http://exon.niaid.nih.gov/transcriptome/C_felis/S2/links/netoglyc/CF-141-netoglyc.txt","0")</f>
        <v>0</v>
      </c>
      <c r="Y65" s="2">
        <v>7.1</v>
      </c>
      <c r="Z65" s="2">
        <v>11.5</v>
      </c>
      <c r="AA65" s="2">
        <v>2.7</v>
      </c>
      <c r="AB65" t="s">
        <v>437</v>
      </c>
      <c r="AC65" t="s">
        <v>438</v>
      </c>
      <c r="AD65" t="s">
        <v>466</v>
      </c>
      <c r="AE65" s="2">
        <v>1</v>
      </c>
      <c r="AF65" s="4" t="str">
        <f>HYPERLINK("http://exon.niaid.nih.gov/transcriptome/C_felis/S2/links/NR/Cf-141-NR.txt","similar to S9e ribosomal protein isoform 1")</f>
        <v>similar to S9e ribosomal protein isoform 1</v>
      </c>
      <c r="AG65" t="str">
        <f>HYPERLINK("http://www.ncbi.nlm.nih.gov/sutils/blink.cgi?pid=91089607","5E-053")</f>
        <v>5E-053</v>
      </c>
      <c r="AH65" t="str">
        <f>HYPERLINK("http://www.ncbi.nlm.nih.gov/protein/91089607","gi|91089607")</f>
        <v>gi|91089607</v>
      </c>
      <c r="AI65">
        <v>210</v>
      </c>
      <c r="AJ65">
        <v>109</v>
      </c>
      <c r="AK65">
        <v>194</v>
      </c>
      <c r="AL65">
        <v>95</v>
      </c>
      <c r="AM65">
        <v>57</v>
      </c>
      <c r="AN65" t="s">
        <v>72</v>
      </c>
      <c r="AO65" s="4" t="str">
        <f>HYPERLINK("http://exon.niaid.nih.gov/transcriptome/C_felis/S2/links/SWISSP/Cf-141-SWISSP.txt","40S ribosomal protein S9")</f>
        <v>40S ribosomal protein S9</v>
      </c>
      <c r="AP65" t="str">
        <f>HYPERLINK("http://www.uniprot.org/uniprot/P55935","4E-053")</f>
        <v>4E-053</v>
      </c>
      <c r="AQ65" t="s">
        <v>77</v>
      </c>
      <c r="AR65">
        <v>206</v>
      </c>
      <c r="AS65">
        <v>110</v>
      </c>
      <c r="AT65">
        <v>195</v>
      </c>
      <c r="AU65">
        <v>94</v>
      </c>
      <c r="AV65">
        <v>57</v>
      </c>
      <c r="AW65" t="s">
        <v>52</v>
      </c>
      <c r="AX65" s="4" t="s">
        <v>78</v>
      </c>
      <c r="AY65">
        <f>HYPERLINK("http://exon.niaid.nih.gov/transcriptome/C_felis/S2/links/GO/Cf-141-GO.txt",3E-53)</f>
        <v>3.0000000000000002E-53</v>
      </c>
      <c r="AZ65" t="str">
        <f t="shared" si="28"/>
        <v>GO:0003735</v>
      </c>
      <c r="BA65" t="s">
        <v>53</v>
      </c>
      <c r="BB65" t="s">
        <v>54</v>
      </c>
      <c r="BC65" t="s">
        <v>55</v>
      </c>
      <c r="BD65" t="s">
        <v>7</v>
      </c>
      <c r="BF65" s="5">
        <v>3.0000000000000002E-53</v>
      </c>
      <c r="BG65" t="str">
        <f>HYPERLINK("http://amigo.geneontology.org/cgi-bin/amigo/term_details?term=GO:0022627","GO:0022627")</f>
        <v>GO:0022627</v>
      </c>
      <c r="BH65" t="s">
        <v>79</v>
      </c>
      <c r="BI65" t="s">
        <v>80</v>
      </c>
      <c r="BJ65" t="s">
        <v>81</v>
      </c>
      <c r="BK65" t="s">
        <v>7</v>
      </c>
      <c r="BM65" s="5">
        <v>3.0000000000000002E-53</v>
      </c>
      <c r="BN65" t="str">
        <f t="shared" si="29"/>
        <v>GO:0006412</v>
      </c>
      <c r="BO65" t="s">
        <v>59</v>
      </c>
      <c r="BP65" t="s">
        <v>60</v>
      </c>
      <c r="BQ65" t="s">
        <v>61</v>
      </c>
      <c r="BR65" t="s">
        <v>7</v>
      </c>
      <c r="BT65" s="5">
        <v>3.0000000000000002E-53</v>
      </c>
      <c r="BU65" s="4" t="str">
        <f>HYPERLINK("http://exon.niaid.nih.gov/transcriptome/C_felis/S2/links/KOG/Cf-141-KOG.txt","Ribosomal protein S4")</f>
        <v>Ribosomal protein S4</v>
      </c>
      <c r="BV65" t="str">
        <f>HYPERLINK("http://www.ncbi.nlm.nih.gov/COG/grace/shokog.cgi?KOG3301","9E-040")</f>
        <v>9E-040</v>
      </c>
      <c r="BW65" t="s">
        <v>62</v>
      </c>
      <c r="BX65" t="str">
        <f>HYPERLINK("http://exon.niaid.nih.gov/transcriptome/C_felis/S2/links/KOG/Cf-141-KOG.txt","KOG3301")</f>
        <v>KOG3301</v>
      </c>
      <c r="BY65" s="4" t="str">
        <f>HYPERLINK("http://exon.niaid.nih.gov/transcriptome/C_felis/S2/links/CDD/Cf-141-CDD.txt","PLN00189")</f>
        <v>PLN00189</v>
      </c>
      <c r="BZ65" t="str">
        <f>HYPERLINK("http://www.ncbi.nlm.nih.gov/Structure/cdd/cddsrv.cgi?uid=PLN00189&amp;version=v4.0","9E-047")</f>
        <v>9E-047</v>
      </c>
      <c r="CA65" t="s">
        <v>175</v>
      </c>
      <c r="CB65" s="4" t="str">
        <f>HYPERLINK("http://exon.niaid.nih.gov/transcriptome/C_felis/S2/links/PFAM/Cf-141-PFAM.txt","S4")</f>
        <v>S4</v>
      </c>
      <c r="CC65" t="str">
        <f>HYPERLINK("http://pfam.sanger.ac.uk/family?acc=PF01479","6E-009")</f>
        <v>6E-009</v>
      </c>
      <c r="CD65" s="4" t="str">
        <f>HYPERLINK("http://exon.niaid.nih.gov/transcriptome/C_felis/S2/links/SMART/Cf-141-SMART.txt","S4")</f>
        <v>S4</v>
      </c>
      <c r="CE65" t="str">
        <f>HYPERLINK("http://smart.embl-heidelberg.de/smart/do_annotation.pl?DOMAIN=S4&amp;BLAST=DUMMY","1E-006")</f>
        <v>1E-006</v>
      </c>
      <c r="CF65" s="4" t="s">
        <v>7</v>
      </c>
      <c r="CG65" t="s">
        <v>7</v>
      </c>
      <c r="CH65" t="s">
        <v>7</v>
      </c>
      <c r="CI65" t="s">
        <v>7</v>
      </c>
      <c r="CJ65" t="s">
        <v>7</v>
      </c>
      <c r="CK65" s="7">
        <f>HYPERLINK("http://exon.niaid.nih.gov/transcriptome/C_felis/S2/links/cluster/cf-pep95-2-Id-CLU9.txt", 9)</f>
        <v>9</v>
      </c>
      <c r="CL65" s="2">
        <f>HYPERLINK("http://exon.niaid.nih.gov/transcriptome/C_felis/S2/links/cluster/cf-pep95-2-Id-CLTL9.txt", 2)</f>
        <v>2</v>
      </c>
      <c r="CM65" s="7">
        <f>HYPERLINK("http://exon.niaid.nih.gov/transcriptome/C_felis/S2/links/cluster/cf-pep100-3-Id-CLU9.txt", 9)</f>
        <v>9</v>
      </c>
      <c r="CN65" s="2">
        <f>HYPERLINK("http://exon.niaid.nih.gov/transcriptome/C_felis/S2/links/cluster/cf-pep100-3-Id-CLTL9.txt", 2)</f>
        <v>2</v>
      </c>
      <c r="CO65" s="7">
        <f>HYPERLINK("http://exon.niaid.nih.gov/transcriptome/C_felis/S2/links/cluster/cf-pep100-4-Id-CLU9.txt", 9)</f>
        <v>9</v>
      </c>
      <c r="CP65" s="2">
        <f>HYPERLINK("http://exon.niaid.nih.gov/transcriptome/C_felis/S2/links/cluster/cf-pep100-4-Id-CLTL9.txt", 2)</f>
        <v>2</v>
      </c>
      <c r="CQ65" s="7">
        <f>HYPERLINK("http://exon.niaid.nih.gov/transcriptome/C_felis/S2/links/cluster/cf-pep25-50-Sim-CLU10.txt", 10)</f>
        <v>10</v>
      </c>
      <c r="CR65" s="2">
        <f>HYPERLINK("http://exon.niaid.nih.gov/transcriptome/C_felis/S2/links/cluster/cf-pep25-50-Sim-CLTL10.txt", 2)</f>
        <v>2</v>
      </c>
      <c r="CS65" s="7">
        <f>HYPERLINK("http://exon.niaid.nih.gov/transcriptome/C_felis/S2/links/cluster/cf-pep30-50-Sim-CLU11.txt", 11)</f>
        <v>11</v>
      </c>
      <c r="CT65" s="2">
        <f>HYPERLINK("http://exon.niaid.nih.gov/transcriptome/C_felis/S2/links/cluster/cf-pep30-50-Sim-CLTL11.txt", 2)</f>
        <v>2</v>
      </c>
      <c r="CU65" s="7">
        <f>HYPERLINK("http://exon.niaid.nih.gov/transcriptome/C_felis/S2/links/cluster/cf-pep35-50-Sim-CLU11.txt", 11)</f>
        <v>11</v>
      </c>
      <c r="CV65" s="2">
        <f>HYPERLINK("http://exon.niaid.nih.gov/transcriptome/C_felis/S2/links/cluster/cf-pep35-50-Sim-CLTL11.txt", 2)</f>
        <v>2</v>
      </c>
      <c r="CW65" s="7">
        <f>HYPERLINK("http://exon.niaid.nih.gov/transcriptome/C_felis/S2/links/cluster/cf-pep40-50-Sim-CLU10.txt", 10)</f>
        <v>10</v>
      </c>
      <c r="CX65" s="2">
        <f>HYPERLINK("http://exon.niaid.nih.gov/transcriptome/C_felis/S2/links/cluster/cf-pep40-50-Sim-CLTL10.txt", 2)</f>
        <v>2</v>
      </c>
      <c r="CY65" s="7">
        <f>HYPERLINK("http://exon.niaid.nih.gov/transcriptome/C_felis/S2/links/cluster/cf-pep45-50-Sim-CLU11.txt", 11)</f>
        <v>11</v>
      </c>
      <c r="CZ65" s="2">
        <f>HYPERLINK("http://exon.niaid.nih.gov/transcriptome/C_felis/S2/links/cluster/cf-pep45-50-Sim-CLTL11.txt", 2)</f>
        <v>2</v>
      </c>
      <c r="DA65" s="7">
        <f>HYPERLINK("http://exon.niaid.nih.gov/transcriptome/C_felis/S2/links/cluster/cf-pep50-50-Sim-CLU12.txt", 12)</f>
        <v>12</v>
      </c>
      <c r="DB65" s="2">
        <f>HYPERLINK("http://exon.niaid.nih.gov/transcriptome/C_felis/S2/links/cluster/cf-pep50-50-Sim-CLTL12.txt", 2)</f>
        <v>2</v>
      </c>
      <c r="DC65" s="7">
        <f>HYPERLINK("http://exon.niaid.nih.gov/transcriptome/C_felis/S2/links/cluster/cf-pep55-50-Sim-CLU11.txt", 11)</f>
        <v>11</v>
      </c>
      <c r="DD65" s="2">
        <f>HYPERLINK("http://exon.niaid.nih.gov/transcriptome/C_felis/S2/links/cluster/cf-pep55-50-Sim-CLTL11.txt", 2)</f>
        <v>2</v>
      </c>
      <c r="DE65" s="7">
        <f>HYPERLINK("http://exon.niaid.nih.gov/transcriptome/C_felis/S2/links/cluster/cf-pep60-50-Sim-CLU9.txt", 9)</f>
        <v>9</v>
      </c>
      <c r="DF65" s="2">
        <f>HYPERLINK("http://exon.niaid.nih.gov/transcriptome/C_felis/S2/links/cluster/cf-pep60-50-Sim-CLTL9.txt", 2)</f>
        <v>2</v>
      </c>
      <c r="DG65" s="7">
        <v>25</v>
      </c>
      <c r="DH65" s="2">
        <v>1</v>
      </c>
      <c r="DI65" s="7">
        <v>26</v>
      </c>
      <c r="DJ65" s="2">
        <v>1</v>
      </c>
      <c r="DK65" s="7">
        <v>26</v>
      </c>
      <c r="DL65" s="2">
        <v>1</v>
      </c>
      <c r="DM65" s="7">
        <v>25</v>
      </c>
      <c r="DN65" s="2">
        <v>1</v>
      </c>
      <c r="DO65" s="7">
        <v>23</v>
      </c>
      <c r="DP65" s="2">
        <v>1</v>
      </c>
      <c r="DQ65" s="7">
        <v>23</v>
      </c>
      <c r="DR65" s="2">
        <v>1</v>
      </c>
      <c r="DS65" s="7">
        <v>21</v>
      </c>
      <c r="DT65" s="2">
        <v>1</v>
      </c>
    </row>
    <row r="66" spans="1:124" x14ac:dyDescent="0.2">
      <c r="A66" t="str">
        <f>HYPERLINK("http://exon.niaid.nih.gov/transcriptome/C_felis/S2/links/pep/Cf-646-pep.txt","Cf-646")</f>
        <v>Cf-646</v>
      </c>
      <c r="B66" s="2">
        <v>1</v>
      </c>
      <c r="C66">
        <v>60</v>
      </c>
      <c r="D66" t="str">
        <f>HYPERLINK("http://exon.niaid.nih.gov/transcriptome/C_felis/S2/links/cds/Cf-646-cds.txt","Cf-646")</f>
        <v>Cf-646</v>
      </c>
      <c r="E66">
        <v>183</v>
      </c>
      <c r="F66" t="s">
        <v>512</v>
      </c>
      <c r="G66">
        <v>0</v>
      </c>
      <c r="I66" s="2" t="s">
        <v>10</v>
      </c>
      <c r="J66" s="2" t="s">
        <v>3</v>
      </c>
      <c r="K66" s="20" t="str">
        <f>HYPERLINK("http://exon.niaid.nih.gov/transcriptome/C_felis/S2/links/Sigp/Cf-646-SigP.txt","CYT")</f>
        <v>CYT</v>
      </c>
      <c r="L66" s="2" t="s">
        <v>7</v>
      </c>
      <c r="M66" s="2">
        <v>6.5780000000000003</v>
      </c>
      <c r="N66" s="2">
        <v>9.89</v>
      </c>
      <c r="O66" s="2" t="s">
        <v>7</v>
      </c>
      <c r="P66" s="2" t="s">
        <v>7</v>
      </c>
      <c r="Q66" s="24" t="s">
        <v>556</v>
      </c>
      <c r="R66" s="20">
        <v>0</v>
      </c>
      <c r="S66" s="2" t="s">
        <v>7</v>
      </c>
      <c r="T66" s="2" t="s">
        <v>7</v>
      </c>
      <c r="U66" s="2" t="s">
        <v>7</v>
      </c>
      <c r="V66" s="2" t="s">
        <v>7</v>
      </c>
      <c r="W66" s="2" t="s">
        <v>7</v>
      </c>
      <c r="X66" s="20" t="str">
        <f>HYPERLINK("http://exon.niaid.nih.gov/transcriptome/C_felis/S2/links/netoglyc/CF-646-netoglyc.txt","0")</f>
        <v>0</v>
      </c>
      <c r="Y66" s="2">
        <v>3.3</v>
      </c>
      <c r="Z66" s="2">
        <v>10</v>
      </c>
      <c r="AA66" s="2">
        <v>5</v>
      </c>
      <c r="AB66" t="s">
        <v>437</v>
      </c>
      <c r="AC66" t="s">
        <v>438</v>
      </c>
      <c r="AD66" t="s">
        <v>512</v>
      </c>
      <c r="AE66" s="2">
        <v>1</v>
      </c>
      <c r="AF66" s="4" t="str">
        <f>HYPERLINK("http://exon.niaid.nih.gov/transcriptome/C_felis/S2/links/NR/Cf-646-NR.txt","hypothetical protein")</f>
        <v>hypothetical protein</v>
      </c>
      <c r="AG66" t="str">
        <f>HYPERLINK("http://www.ncbi.nlm.nih.gov/sutils/blink.cgi?pid=91085719","3E-020")</f>
        <v>3E-020</v>
      </c>
      <c r="AH66" t="str">
        <f>HYPERLINK("http://www.ncbi.nlm.nih.gov/protein/91085719","gi|91085719")</f>
        <v>gi|91085719</v>
      </c>
      <c r="AI66">
        <v>102</v>
      </c>
      <c r="AJ66">
        <v>58</v>
      </c>
      <c r="AK66">
        <v>64</v>
      </c>
      <c r="AL66">
        <v>81</v>
      </c>
      <c r="AM66">
        <v>92</v>
      </c>
      <c r="AN66" t="s">
        <v>72</v>
      </c>
      <c r="AO66" s="4" t="str">
        <f>HYPERLINK("http://exon.niaid.nih.gov/transcriptome/C_felis/S2/links/SWISSP/Cf-646-SWISSP.txt","Coiled-coil domain-containing protein 72 homolog")</f>
        <v>Coiled-coil domain-containing protein 72 homolog</v>
      </c>
      <c r="AP66" t="str">
        <f>HYPERLINK("http://www.uniprot.org/uniprot/Q9XZS3","2E-018")</f>
        <v>2E-018</v>
      </c>
      <c r="AQ66" t="s">
        <v>381</v>
      </c>
      <c r="AR66">
        <v>91.3</v>
      </c>
      <c r="AS66">
        <v>58</v>
      </c>
      <c r="AT66">
        <v>64</v>
      </c>
      <c r="AU66">
        <v>74</v>
      </c>
      <c r="AV66">
        <v>92</v>
      </c>
      <c r="AW66" t="s">
        <v>52</v>
      </c>
      <c r="AX66" s="4" t="s">
        <v>382</v>
      </c>
      <c r="AY66">
        <f>HYPERLINK("http://exon.niaid.nih.gov/transcriptome/C_felis/S2/links/GO/Cf-646-GO.txt",0.000000000000000001)</f>
        <v>1.0000000000000001E-18</v>
      </c>
      <c r="AZ66" t="str">
        <f>HYPERLINK("http://amigo.geneontology.org/cgi-bin/amigo/term_details?term=GO:0003674","GO:0003674")</f>
        <v>GO:0003674</v>
      </c>
      <c r="BA66" t="s">
        <v>111</v>
      </c>
      <c r="BB66" t="s">
        <v>112</v>
      </c>
      <c r="BC66" t="s">
        <v>113</v>
      </c>
      <c r="BD66" t="s">
        <v>7</v>
      </c>
      <c r="BF66" s="5">
        <v>1.0000000000000001E-18</v>
      </c>
      <c r="BG66" t="str">
        <f>HYPERLINK("http://amigo.geneontology.org/cgi-bin/amigo/term_details?term=GO:0005575","GO:0005575")</f>
        <v>GO:0005575</v>
      </c>
      <c r="BH66" t="s">
        <v>114</v>
      </c>
      <c r="BI66" t="s">
        <v>115</v>
      </c>
      <c r="BJ66" t="s">
        <v>116</v>
      </c>
      <c r="BK66" t="s">
        <v>7</v>
      </c>
      <c r="BM66" s="5">
        <v>1.0000000000000001E-18</v>
      </c>
      <c r="BN66" t="str">
        <f>HYPERLINK("http://amigo.geneontology.org/cgi-bin/amigo/term_details?term=GO:0008150","GO:0008150")</f>
        <v>GO:0008150</v>
      </c>
      <c r="BO66" t="s">
        <v>117</v>
      </c>
      <c r="BP66" t="s">
        <v>118</v>
      </c>
      <c r="BQ66" t="s">
        <v>119</v>
      </c>
      <c r="BR66" t="s">
        <v>7</v>
      </c>
      <c r="BT66" s="5">
        <v>1.0000000000000001E-18</v>
      </c>
      <c r="BU66" s="4" t="str">
        <f>HYPERLINK("http://exon.niaid.nih.gov/transcriptome/C_felis/S2/links/KOG/Cf-646-KOG.txt","Medium subunit of clathrin adaptor complex")</f>
        <v>Medium subunit of clathrin adaptor complex</v>
      </c>
      <c r="BV66" t="str">
        <f>HYPERLINK("http://www.ncbi.nlm.nih.gov/COG/grace/shokog.cgi?KOG2635","0.83")</f>
        <v>0.83</v>
      </c>
      <c r="BW66" t="s">
        <v>74</v>
      </c>
      <c r="BX66" t="str">
        <f>HYPERLINK("http://exon.niaid.nih.gov/transcriptome/C_felis/S2/links/KOG/Cf-646-KOG.txt","KOG2635")</f>
        <v>KOG2635</v>
      </c>
      <c r="BY66" s="4" t="str">
        <f>HYPERLINK("http://exon.niaid.nih.gov/transcriptome/C_felis/S2/links/CDD/Cf-646-CDD.txt","mtEFG2_like_IV")</f>
        <v>mtEFG2_like_IV</v>
      </c>
      <c r="BZ66" t="str">
        <f>HYPERLINK("http://www.ncbi.nlm.nih.gov/Structure/cdd/cddsrv.cgi?uid=cd01693&amp;version=v4.0","0.59")</f>
        <v>0.59</v>
      </c>
      <c r="CA66" t="s">
        <v>383</v>
      </c>
      <c r="CB66" s="4" t="str">
        <f>HYPERLINK("http://exon.niaid.nih.gov/transcriptome/C_felis/S2/links/PFAM/Cf-646-PFAM.txt","TMA7")</f>
        <v>TMA7</v>
      </c>
      <c r="CC66" t="str">
        <f>HYPERLINK("http://pfam.sanger.ac.uk/family?acc=PF09072","0.39")</f>
        <v>0.39</v>
      </c>
      <c r="CD66" s="4" t="str">
        <f>HYPERLINK("http://exon.niaid.nih.gov/transcriptome/C_felis/S2/links/SMART/Cf-646-SMART.txt","POLBc")</f>
        <v>POLBc</v>
      </c>
      <c r="CE66" t="str">
        <f>HYPERLINK("http://smart.embl-heidelberg.de/smart/do_annotation.pl?DOMAIN=POLBc&amp;BLAST=DUMMY","0.40")</f>
        <v>0.40</v>
      </c>
      <c r="CF66" s="4" t="s">
        <v>7</v>
      </c>
      <c r="CG66" t="s">
        <v>7</v>
      </c>
      <c r="CH66" t="s">
        <v>7</v>
      </c>
      <c r="CI66" t="s">
        <v>7</v>
      </c>
      <c r="CJ66" t="s">
        <v>7</v>
      </c>
      <c r="CK66" s="7">
        <v>139</v>
      </c>
      <c r="CL66" s="2">
        <v>1</v>
      </c>
      <c r="CM66" s="7">
        <v>139</v>
      </c>
      <c r="CN66" s="2">
        <v>1</v>
      </c>
      <c r="CO66" s="7">
        <v>139</v>
      </c>
      <c r="CP66" s="2">
        <v>1</v>
      </c>
      <c r="CQ66" s="7">
        <f>HYPERLINK("http://exon.niaid.nih.gov/transcriptome/C_felis/S2/links/cluster/cf-pep25-50-Sim-CLU2.txt", 2)</f>
        <v>2</v>
      </c>
      <c r="CR66" s="2">
        <f>HYPERLINK("http://exon.niaid.nih.gov/transcriptome/C_felis/S2/links/cluster/cf-pep25-50-Sim-CLTL2.txt", 34)</f>
        <v>34</v>
      </c>
      <c r="CS66" s="7">
        <f>HYPERLINK("http://exon.niaid.nih.gov/transcriptome/C_felis/S2/links/cluster/cf-pep30-50-Sim-CLU6.txt", 6)</f>
        <v>6</v>
      </c>
      <c r="CT66" s="2">
        <f>HYPERLINK("http://exon.niaid.nih.gov/transcriptome/C_felis/S2/links/cluster/cf-pep30-50-Sim-CLTL6.txt", 5)</f>
        <v>5</v>
      </c>
      <c r="CU66" s="7">
        <f>HYPERLINK("http://exon.niaid.nih.gov/transcriptome/C_felis/S2/links/cluster/cf-pep35-50-Sim-CLU17.txt", 17)</f>
        <v>17</v>
      </c>
      <c r="CV66" s="2">
        <f>HYPERLINK("http://exon.niaid.nih.gov/transcriptome/C_felis/S2/links/cluster/cf-pep35-50-Sim-CLTL17.txt", 2)</f>
        <v>2</v>
      </c>
      <c r="CW66" s="7">
        <v>130</v>
      </c>
      <c r="CX66" s="2">
        <v>1</v>
      </c>
      <c r="CY66" s="7">
        <v>135</v>
      </c>
      <c r="CZ66" s="2">
        <v>1</v>
      </c>
      <c r="DA66" s="7">
        <v>141</v>
      </c>
      <c r="DB66" s="2">
        <v>1</v>
      </c>
      <c r="DC66" s="7">
        <v>143</v>
      </c>
      <c r="DD66" s="2">
        <v>1</v>
      </c>
      <c r="DE66" s="7">
        <v>146</v>
      </c>
      <c r="DF66" s="2">
        <v>1</v>
      </c>
      <c r="DG66" s="7">
        <v>150</v>
      </c>
      <c r="DH66" s="2">
        <v>1</v>
      </c>
      <c r="DI66" s="7">
        <v>151</v>
      </c>
      <c r="DJ66" s="2">
        <v>1</v>
      </c>
      <c r="DK66" s="7">
        <v>153</v>
      </c>
      <c r="DL66" s="2">
        <v>1</v>
      </c>
      <c r="DM66" s="7">
        <v>155</v>
      </c>
      <c r="DN66" s="2">
        <v>1</v>
      </c>
      <c r="DO66" s="7">
        <v>159</v>
      </c>
      <c r="DP66" s="2">
        <v>1</v>
      </c>
      <c r="DQ66" s="7">
        <v>161</v>
      </c>
      <c r="DR66" s="2">
        <v>1</v>
      </c>
      <c r="DS66" s="7">
        <v>163</v>
      </c>
      <c r="DT66" s="2">
        <v>1</v>
      </c>
    </row>
    <row r="67" spans="1:124" x14ac:dyDescent="0.2">
      <c r="A67" t="str">
        <f>HYPERLINK("http://exon.niaid.nih.gov/transcriptome/C_felis/S2/links/pep/Cf-153-pep.txt","Cf-153")</f>
        <v>Cf-153</v>
      </c>
      <c r="B67" s="2">
        <v>5</v>
      </c>
      <c r="C67">
        <v>100</v>
      </c>
      <c r="D67" t="str">
        <f>HYPERLINK("http://exon.niaid.nih.gov/transcriptome/C_felis/S2/links/cds/Cf-153-cds.txt","Cf-153")</f>
        <v>Cf-153</v>
      </c>
      <c r="E67">
        <v>303</v>
      </c>
      <c r="F67" t="s">
        <v>471</v>
      </c>
      <c r="G67">
        <v>0</v>
      </c>
      <c r="I67" s="2" t="s">
        <v>10</v>
      </c>
      <c r="J67" s="2" t="s">
        <v>3</v>
      </c>
      <c r="K67" s="20" t="str">
        <f>HYPERLINK("http://exon.niaid.nih.gov/transcriptome/C_felis/S2/links/Sigp/Cf-153-SigP.txt","CYT")</f>
        <v>CYT</v>
      </c>
      <c r="L67" s="2" t="s">
        <v>7</v>
      </c>
      <c r="M67" s="2">
        <v>11.86</v>
      </c>
      <c r="N67" s="2">
        <v>11.12</v>
      </c>
      <c r="O67" s="2" t="s">
        <v>7</v>
      </c>
      <c r="P67" s="2" t="s">
        <v>7</v>
      </c>
      <c r="Q67" s="24" t="s">
        <v>556</v>
      </c>
      <c r="R67" s="20">
        <v>0</v>
      </c>
      <c r="S67" s="2" t="s">
        <v>7</v>
      </c>
      <c r="T67" s="2" t="s">
        <v>7</v>
      </c>
      <c r="U67" s="2" t="s">
        <v>7</v>
      </c>
      <c r="V67" s="2" t="s">
        <v>7</v>
      </c>
      <c r="W67" s="2" t="s">
        <v>7</v>
      </c>
      <c r="X67" s="20" t="str">
        <f>HYPERLINK("http://exon.niaid.nih.gov/transcriptome/C_felis/S2/links/netoglyc/CF-153-netoglyc.txt","0")</f>
        <v>0</v>
      </c>
      <c r="Y67" s="2">
        <v>9</v>
      </c>
      <c r="Z67" s="2">
        <v>5</v>
      </c>
      <c r="AA67" s="2">
        <v>6</v>
      </c>
      <c r="AB67" t="s">
        <v>437</v>
      </c>
      <c r="AC67" t="s">
        <v>438</v>
      </c>
      <c r="AD67" t="s">
        <v>471</v>
      </c>
      <c r="AE67" s="2">
        <v>5</v>
      </c>
      <c r="AF67" s="4" t="str">
        <f>HYPERLINK("http://exon.niaid.nih.gov/transcriptome/C_felis/S2/links/NR/Cf-153-NR.txt","60S ribosomal protein L18a")</f>
        <v>60S ribosomal protein L18a</v>
      </c>
      <c r="AG67" t="str">
        <f>HYPERLINK("http://www.ncbi.nlm.nih.gov/sutils/blink.cgi?pid=149898903","7E-048")</f>
        <v>7E-048</v>
      </c>
      <c r="AH67" t="str">
        <f>HYPERLINK("http://www.ncbi.nlm.nih.gov/protein/149898903","gi|149898903")</f>
        <v>gi|149898903</v>
      </c>
      <c r="AI67">
        <v>193</v>
      </c>
      <c r="AJ67">
        <v>98</v>
      </c>
      <c r="AK67">
        <v>177</v>
      </c>
      <c r="AL67">
        <v>90</v>
      </c>
      <c r="AM67">
        <v>56</v>
      </c>
      <c r="AN67" t="s">
        <v>197</v>
      </c>
      <c r="AO67" s="4" t="str">
        <f>HYPERLINK("http://exon.niaid.nih.gov/transcriptome/C_felis/S2/links/SWISSP/Cf-153-SWISSP.txt","60S ribosomal protein L18a")</f>
        <v>60S ribosomal protein L18a</v>
      </c>
      <c r="AP67" t="str">
        <f>HYPERLINK("http://www.uniprot.org/uniprot/Q02543","5E-041")</f>
        <v>5E-041</v>
      </c>
      <c r="AQ67" t="s">
        <v>198</v>
      </c>
      <c r="AR67">
        <v>166</v>
      </c>
      <c r="AS67">
        <v>97</v>
      </c>
      <c r="AT67">
        <v>176</v>
      </c>
      <c r="AU67">
        <v>75</v>
      </c>
      <c r="AV67">
        <v>56</v>
      </c>
      <c r="AW67" t="s">
        <v>66</v>
      </c>
      <c r="AX67" s="4" t="s">
        <v>199</v>
      </c>
      <c r="AY67">
        <f>HYPERLINK("http://exon.niaid.nih.gov/transcriptome/C_felis/S2/links/GO/Cf-153-GO.txt",3E-41)</f>
        <v>2.9999999999999999E-41</v>
      </c>
      <c r="AZ67" t="str">
        <f>HYPERLINK("http://amigo.geneontology.org/cgi-bin/amigo/term_details?term=GO:0003735","GO:0003735")</f>
        <v>GO:0003735</v>
      </c>
      <c r="BA67" t="s">
        <v>53</v>
      </c>
      <c r="BB67" t="s">
        <v>54</v>
      </c>
      <c r="BC67" t="s">
        <v>55</v>
      </c>
      <c r="BD67" t="s">
        <v>7</v>
      </c>
      <c r="BF67" s="5">
        <v>2.9999999999999999E-41</v>
      </c>
      <c r="BG67" t="str">
        <f>HYPERLINK("http://amigo.geneontology.org/cgi-bin/amigo/term_details?term=GO:0005840","GO:0005840")</f>
        <v>GO:0005840</v>
      </c>
      <c r="BH67" t="s">
        <v>94</v>
      </c>
      <c r="BI67" t="s">
        <v>95</v>
      </c>
      <c r="BJ67" t="s">
        <v>96</v>
      </c>
      <c r="BK67" t="s">
        <v>7</v>
      </c>
      <c r="BM67" s="5">
        <v>2.9999999999999999E-41</v>
      </c>
      <c r="BN67" t="str">
        <f>HYPERLINK("http://amigo.geneontology.org/cgi-bin/amigo/term_details?term=GO:0006412","GO:0006412")</f>
        <v>GO:0006412</v>
      </c>
      <c r="BO67" t="s">
        <v>59</v>
      </c>
      <c r="BP67" t="s">
        <v>60</v>
      </c>
      <c r="BQ67" t="s">
        <v>61</v>
      </c>
      <c r="BR67" t="s">
        <v>7</v>
      </c>
      <c r="BT67" s="5">
        <v>2.9999999999999999E-41</v>
      </c>
      <c r="BU67" s="4" t="str">
        <f>HYPERLINK("http://exon.niaid.nih.gov/transcriptome/C_felis/S2/links/KOG/Cf-153-KOG.txt","60S ribosomal protein L18A")</f>
        <v>60S ribosomal protein L18A</v>
      </c>
      <c r="BV67" t="str">
        <f>HYPERLINK("http://www.ncbi.nlm.nih.gov/COG/grace/shokog.cgi?KOG0829","3E-039")</f>
        <v>3E-039</v>
      </c>
      <c r="BW67" t="s">
        <v>62</v>
      </c>
      <c r="BX67" t="str">
        <f>HYPERLINK("http://exon.niaid.nih.gov/transcriptome/C_felis/S2/links/KOG/Cf-153-KOG.txt","KOG0829")</f>
        <v>KOG0829</v>
      </c>
      <c r="BY67" s="4" t="str">
        <f>HYPERLINK("http://exon.niaid.nih.gov/transcriptome/C_felis/S2/links/CDD/Cf-153-CDD.txt","Ribosomal_L18ae")</f>
        <v>Ribosomal_L18ae</v>
      </c>
      <c r="BZ67" t="str">
        <f>HYPERLINK("http://www.ncbi.nlm.nih.gov/Structure/cdd/cddsrv.cgi?uid=pfam01775&amp;version=v4.0","4E-014")</f>
        <v>4E-014</v>
      </c>
      <c r="CA67" t="s">
        <v>200</v>
      </c>
      <c r="CB67" s="4" t="str">
        <f>HYPERLINK("http://exon.niaid.nih.gov/transcriptome/C_felis/S2/links/PFAM/Cf-153-PFAM.txt","Ribosomal_L18ae")</f>
        <v>Ribosomal_L18ae</v>
      </c>
      <c r="CC67" t="str">
        <f>HYPERLINK("http://pfam.sanger.ac.uk/family?acc=PF01775","9E-015")</f>
        <v>9E-015</v>
      </c>
      <c r="CD67" s="4" t="str">
        <f>HYPERLINK("http://exon.niaid.nih.gov/transcriptome/C_felis/S2/links/SMART/Cf-153-SMART.txt","CADG")</f>
        <v>CADG</v>
      </c>
      <c r="CE67" t="str">
        <f>HYPERLINK("http://smart.embl-heidelberg.de/smart/do_annotation.pl?DOMAIN=CADG&amp;BLAST=DUMMY","0.11")</f>
        <v>0.11</v>
      </c>
      <c r="CF67" s="4" t="s">
        <v>7</v>
      </c>
      <c r="CG67" t="s">
        <v>7</v>
      </c>
      <c r="CH67" t="s">
        <v>7</v>
      </c>
      <c r="CI67" t="s">
        <v>7</v>
      </c>
      <c r="CJ67" t="s">
        <v>7</v>
      </c>
      <c r="CK67" s="7">
        <v>31</v>
      </c>
      <c r="CL67" s="2">
        <v>1</v>
      </c>
      <c r="CM67" s="7">
        <v>31</v>
      </c>
      <c r="CN67" s="2">
        <v>1</v>
      </c>
      <c r="CO67" s="7">
        <v>31</v>
      </c>
      <c r="CP67" s="2">
        <v>1</v>
      </c>
      <c r="CQ67" s="7">
        <v>28</v>
      </c>
      <c r="CR67" s="2">
        <v>1</v>
      </c>
      <c r="CS67" s="7">
        <v>28</v>
      </c>
      <c r="CT67" s="2">
        <v>1</v>
      </c>
      <c r="CU67" s="7">
        <v>33</v>
      </c>
      <c r="CV67" s="2">
        <v>1</v>
      </c>
      <c r="CW67" s="7">
        <v>32</v>
      </c>
      <c r="CX67" s="2">
        <v>1</v>
      </c>
      <c r="CY67" s="7">
        <v>33</v>
      </c>
      <c r="CZ67" s="2">
        <v>1</v>
      </c>
      <c r="DA67" s="7">
        <v>33</v>
      </c>
      <c r="DB67" s="2">
        <v>1</v>
      </c>
      <c r="DC67" s="7">
        <v>32</v>
      </c>
      <c r="DD67" s="2">
        <v>1</v>
      </c>
      <c r="DE67" s="7">
        <v>31</v>
      </c>
      <c r="DF67" s="2">
        <v>1</v>
      </c>
      <c r="DG67" s="7">
        <v>31</v>
      </c>
      <c r="DH67" s="2">
        <v>1</v>
      </c>
      <c r="DI67" s="7">
        <v>32</v>
      </c>
      <c r="DJ67" s="2">
        <v>1</v>
      </c>
      <c r="DK67" s="7">
        <v>32</v>
      </c>
      <c r="DL67" s="2">
        <v>1</v>
      </c>
      <c r="DM67" s="7">
        <v>32</v>
      </c>
      <c r="DN67" s="2">
        <v>1</v>
      </c>
      <c r="DO67" s="7">
        <v>30</v>
      </c>
      <c r="DP67" s="2">
        <v>1</v>
      </c>
      <c r="DQ67" s="7">
        <v>30</v>
      </c>
      <c r="DR67" s="2">
        <v>1</v>
      </c>
      <c r="DS67" s="7">
        <v>28</v>
      </c>
      <c r="DT67" s="2">
        <v>1</v>
      </c>
    </row>
    <row r="68" spans="1:124" x14ac:dyDescent="0.2">
      <c r="A68" t="str">
        <f>HYPERLINK("http://exon.niaid.nih.gov/transcriptome/C_felis/S2/links/pep/Cf-181-pep.txt","Cf-181")</f>
        <v>Cf-181</v>
      </c>
      <c r="B68" s="2">
        <v>1</v>
      </c>
      <c r="C68">
        <v>81</v>
      </c>
      <c r="D68" t="str">
        <f>HYPERLINK("http://exon.niaid.nih.gov/transcriptome/C_felis/S2/links/cds/Cf-181-cds.txt","Cf-181")</f>
        <v>Cf-181</v>
      </c>
      <c r="E68">
        <v>246</v>
      </c>
      <c r="F68" t="s">
        <v>483</v>
      </c>
      <c r="G68">
        <v>0</v>
      </c>
      <c r="I68" s="2" t="s">
        <v>14</v>
      </c>
      <c r="J68" s="2" t="s">
        <v>3</v>
      </c>
      <c r="K68" s="20" t="str">
        <f>HYPERLINK("http://exon.niaid.nih.gov/transcriptome/C_felis/S2/links/Sigp/Cf-181-SigP.txt","CYT")</f>
        <v>CYT</v>
      </c>
      <c r="L68" s="2" t="s">
        <v>7</v>
      </c>
      <c r="M68" s="2">
        <v>9.35</v>
      </c>
      <c r="N68" s="2">
        <v>10.15</v>
      </c>
      <c r="O68" s="2" t="s">
        <v>7</v>
      </c>
      <c r="P68" s="2" t="s">
        <v>7</v>
      </c>
      <c r="Q68" s="24" t="s">
        <v>581</v>
      </c>
      <c r="R68" s="20">
        <v>0</v>
      </c>
      <c r="S68" s="2" t="s">
        <v>7</v>
      </c>
      <c r="T68" s="2" t="s">
        <v>7</v>
      </c>
      <c r="U68" s="2" t="s">
        <v>7</v>
      </c>
      <c r="V68" s="2" t="s">
        <v>7</v>
      </c>
      <c r="W68" s="2" t="s">
        <v>7</v>
      </c>
      <c r="X68" s="20" t="str">
        <f>HYPERLINK("http://exon.niaid.nih.gov/transcriptome/C_felis/S2/links/netoglyc/CF-181-netoglyc.txt","1")</f>
        <v>1</v>
      </c>
      <c r="Y68" s="2">
        <v>8.6</v>
      </c>
      <c r="Z68" s="2">
        <v>7.4</v>
      </c>
      <c r="AA68" s="2">
        <v>1.2</v>
      </c>
      <c r="AB68" t="s">
        <v>437</v>
      </c>
      <c r="AC68" t="s">
        <v>438</v>
      </c>
      <c r="AD68" t="s">
        <v>483</v>
      </c>
      <c r="AE68" s="2">
        <v>1</v>
      </c>
      <c r="AF68" s="4" t="str">
        <f>HYPERLINK("http://exon.niaid.nih.gov/transcriptome/C_felis/S2/links/NR/Cf-181-NR.txt","ribosomal protein L26e")</f>
        <v>ribosomal protein L26e</v>
      </c>
      <c r="AG68" t="str">
        <f>HYPERLINK("http://www.ncbi.nlm.nih.gov/sutils/blink.cgi?pid=70909801","2E-032")</f>
        <v>2E-032</v>
      </c>
      <c r="AH68" t="str">
        <f>HYPERLINK("http://www.ncbi.nlm.nih.gov/protein/70909801","gi|70909801")</f>
        <v>gi|70909801</v>
      </c>
      <c r="AI68">
        <v>142</v>
      </c>
      <c r="AJ68">
        <v>78</v>
      </c>
      <c r="AK68">
        <v>149</v>
      </c>
      <c r="AL68">
        <v>89</v>
      </c>
      <c r="AM68">
        <v>53</v>
      </c>
      <c r="AN68" t="s">
        <v>240</v>
      </c>
      <c r="AO68" s="4" t="str">
        <f>HYPERLINK("http://exon.niaid.nih.gov/transcriptome/C_felis/S2/links/SWISSP/Cf-181-SWISSP.txt","60S ribosomal protein L26")</f>
        <v>60S ribosomal protein L26</v>
      </c>
      <c r="AP68" t="str">
        <f>HYPERLINK("http://www.uniprot.org/uniprot/Q95WA0","4E-025")</f>
        <v>4E-025</v>
      </c>
      <c r="AQ68" t="s">
        <v>236</v>
      </c>
      <c r="AR68">
        <v>113</v>
      </c>
      <c r="AS68">
        <v>71</v>
      </c>
      <c r="AT68">
        <v>144</v>
      </c>
      <c r="AU68">
        <v>78</v>
      </c>
      <c r="AV68">
        <v>50</v>
      </c>
      <c r="AW68" t="s">
        <v>237</v>
      </c>
      <c r="AX68" s="4" t="s">
        <v>238</v>
      </c>
      <c r="AY68">
        <f>HYPERLINK("http://exon.niaid.nih.gov/transcriptome/C_felis/S2/links/GO/Cf-181-GO.txt",5E-30)</f>
        <v>4.9999999999999997E-30</v>
      </c>
      <c r="AZ68" t="str">
        <f>HYPERLINK("http://amigo.geneontology.org/cgi-bin/amigo/term_details?term=GO:0003735","GO:0003735")</f>
        <v>GO:0003735</v>
      </c>
      <c r="BA68" t="s">
        <v>53</v>
      </c>
      <c r="BB68" t="s">
        <v>54</v>
      </c>
      <c r="BC68" t="s">
        <v>55</v>
      </c>
      <c r="BD68" t="s">
        <v>7</v>
      </c>
      <c r="BF68" s="5">
        <v>4.9999999999999997E-30</v>
      </c>
      <c r="BG68" t="str">
        <f>HYPERLINK("http://amigo.geneontology.org/cgi-bin/amigo/term_details?term=GO:0022625","GO:0022625")</f>
        <v>GO:0022625</v>
      </c>
      <c r="BH68" t="s">
        <v>56</v>
      </c>
      <c r="BI68" t="s">
        <v>57</v>
      </c>
      <c r="BJ68" t="s">
        <v>58</v>
      </c>
      <c r="BK68" t="s">
        <v>7</v>
      </c>
      <c r="BM68" s="5">
        <v>4.9999999999999997E-30</v>
      </c>
      <c r="BN68" t="str">
        <f>HYPERLINK("http://amigo.geneontology.org/cgi-bin/amigo/term_details?term=GO:0006412","GO:0006412")</f>
        <v>GO:0006412</v>
      </c>
      <c r="BO68" t="s">
        <v>59</v>
      </c>
      <c r="BP68" t="s">
        <v>60</v>
      </c>
      <c r="BQ68" t="s">
        <v>61</v>
      </c>
      <c r="BR68" t="s">
        <v>7</v>
      </c>
      <c r="BT68" s="5">
        <v>4.9999999999999997E-30</v>
      </c>
      <c r="BU68" s="4" t="str">
        <f>HYPERLINK("http://exon.niaid.nih.gov/transcriptome/C_felis/S2/links/KOG/Cf-181-KOG.txt","60S ribosomal protein L26")</f>
        <v>60S ribosomal protein L26</v>
      </c>
      <c r="BV68" t="str">
        <f>HYPERLINK("http://www.ncbi.nlm.nih.gov/COG/grace/shokog.cgi?KOG3401","2E-017")</f>
        <v>2E-017</v>
      </c>
      <c r="BW68" t="s">
        <v>62</v>
      </c>
      <c r="BX68" t="str">
        <f>HYPERLINK("http://exon.niaid.nih.gov/transcriptome/C_felis/S2/links/KOG/Cf-181-KOG.txt","KOG3401")</f>
        <v>KOG3401</v>
      </c>
      <c r="BY68" s="4" t="str">
        <f>HYPERLINK("http://exon.niaid.nih.gov/transcriptome/C_felis/S2/links/CDD/Cf-181-CDD.txt","PTZ00194")</f>
        <v>PTZ00194</v>
      </c>
      <c r="BZ68" t="str">
        <f>HYPERLINK("http://www.ncbi.nlm.nih.gov/Structure/cdd/cddsrv.cgi?uid=PTZ00194&amp;version=v4.0","1E-017")</f>
        <v>1E-017</v>
      </c>
      <c r="CA68" t="s">
        <v>241</v>
      </c>
      <c r="CB68" s="4" t="str">
        <f>HYPERLINK("http://exon.niaid.nih.gov/transcriptome/C_felis/S2/links/PFAM/Cf-181-PFAM.txt","DUF1289")</f>
        <v>DUF1289</v>
      </c>
      <c r="CC68" t="str">
        <f>HYPERLINK("http://pfam.sanger.ac.uk/family?acc=PF06945","1.6")</f>
        <v>1.6</v>
      </c>
      <c r="CD68" s="4" t="str">
        <f>HYPERLINK("http://exon.niaid.nih.gov/transcriptome/C_felis/S2/links/SMART/Cf-181-SMART.txt","PGA_cap")</f>
        <v>PGA_cap</v>
      </c>
      <c r="CE68" t="str">
        <f>HYPERLINK("http://smart.embl-heidelberg.de/smart/do_annotation.pl?DOMAIN=PGA_cap&amp;BLAST=DUMMY","1.0")</f>
        <v>1.0</v>
      </c>
      <c r="CF68" s="4" t="s">
        <v>7</v>
      </c>
      <c r="CG68" t="s">
        <v>7</v>
      </c>
      <c r="CH68" t="s">
        <v>7</v>
      </c>
      <c r="CI68" t="s">
        <v>7</v>
      </c>
      <c r="CJ68" t="s">
        <v>7</v>
      </c>
      <c r="CK68" s="7">
        <f>HYPERLINK("http://exon.niaid.nih.gov/transcriptome/C_felis/S2/links/cluster/cf-pep95-2-Id-CLU13.txt", 13)</f>
        <v>13</v>
      </c>
      <c r="CL68" s="2">
        <f>HYPERLINK("http://exon.niaid.nih.gov/transcriptome/C_felis/S2/links/cluster/cf-pep95-2-Id-CLTL13.txt", 2)</f>
        <v>2</v>
      </c>
      <c r="CM68" s="7">
        <f>HYPERLINK("http://exon.niaid.nih.gov/transcriptome/C_felis/S2/links/cluster/cf-pep100-3-Id-CLU13.txt", 13)</f>
        <v>13</v>
      </c>
      <c r="CN68" s="2">
        <f>HYPERLINK("http://exon.niaid.nih.gov/transcriptome/C_felis/S2/links/cluster/cf-pep100-3-Id-CLTL13.txt", 2)</f>
        <v>2</v>
      </c>
      <c r="CO68" s="7">
        <f>HYPERLINK("http://exon.niaid.nih.gov/transcriptome/C_felis/S2/links/cluster/cf-pep100-4-Id-CLU13.txt", 13)</f>
        <v>13</v>
      </c>
      <c r="CP68" s="2">
        <f>HYPERLINK("http://exon.niaid.nih.gov/transcriptome/C_felis/S2/links/cluster/cf-pep100-4-Id-CLTL13.txt", 2)</f>
        <v>2</v>
      </c>
      <c r="CQ68" s="7">
        <f>HYPERLINK("http://exon.niaid.nih.gov/transcriptome/C_felis/S2/links/cluster/cf-pep25-50-Sim-CLU3.txt", 3)</f>
        <v>3</v>
      </c>
      <c r="CR68" s="2">
        <f>HYPERLINK("http://exon.niaid.nih.gov/transcriptome/C_felis/S2/links/cluster/cf-pep25-50-Sim-CLTL3.txt", 10)</f>
        <v>10</v>
      </c>
      <c r="CS68" s="7">
        <f>HYPERLINK("http://exon.niaid.nih.gov/transcriptome/C_felis/S2/links/cluster/cf-pep30-50-Sim-CLU14.txt", 14)</f>
        <v>14</v>
      </c>
      <c r="CT68" s="2">
        <f>HYPERLINK("http://exon.niaid.nih.gov/transcriptome/C_felis/S2/links/cluster/cf-pep30-50-Sim-CLTL14.txt", 2)</f>
        <v>2</v>
      </c>
      <c r="CU68" s="7">
        <f>HYPERLINK("http://exon.niaid.nih.gov/transcriptome/C_felis/S2/links/cluster/cf-pep35-50-Sim-CLU14.txt", 14)</f>
        <v>14</v>
      </c>
      <c r="CV68" s="2">
        <f>HYPERLINK("http://exon.niaid.nih.gov/transcriptome/C_felis/S2/links/cluster/cf-pep35-50-Sim-CLTL14.txt", 2)</f>
        <v>2</v>
      </c>
      <c r="CW68" s="7">
        <f>HYPERLINK("http://exon.niaid.nih.gov/transcriptome/C_felis/S2/links/cluster/cf-pep40-50-Sim-CLU13.txt", 13)</f>
        <v>13</v>
      </c>
      <c r="CX68" s="2">
        <f>HYPERLINK("http://exon.niaid.nih.gov/transcriptome/C_felis/S2/links/cluster/cf-pep40-50-Sim-CLTL13.txt", 2)</f>
        <v>2</v>
      </c>
      <c r="CY68" s="7">
        <f>HYPERLINK("http://exon.niaid.nih.gov/transcriptome/C_felis/S2/links/cluster/cf-pep45-50-Sim-CLU14.txt", 14)</f>
        <v>14</v>
      </c>
      <c r="CZ68" s="2">
        <f>HYPERLINK("http://exon.niaid.nih.gov/transcriptome/C_felis/S2/links/cluster/cf-pep45-50-Sim-CLTL14.txt", 2)</f>
        <v>2</v>
      </c>
      <c r="DA68" s="7">
        <f>HYPERLINK("http://exon.niaid.nih.gov/transcriptome/C_felis/S2/links/cluster/cf-pep50-50-Sim-CLU15.txt", 15)</f>
        <v>15</v>
      </c>
      <c r="DB68" s="2">
        <f>HYPERLINK("http://exon.niaid.nih.gov/transcriptome/C_felis/S2/links/cluster/cf-pep50-50-Sim-CLTL15.txt", 2)</f>
        <v>2</v>
      </c>
      <c r="DC68" s="7">
        <v>44</v>
      </c>
      <c r="DD68" s="2">
        <v>1</v>
      </c>
      <c r="DE68" s="7">
        <v>43</v>
      </c>
      <c r="DF68" s="2">
        <v>1</v>
      </c>
      <c r="DG68" s="7">
        <v>43</v>
      </c>
      <c r="DH68" s="2">
        <v>1</v>
      </c>
      <c r="DI68" s="7">
        <v>44</v>
      </c>
      <c r="DJ68" s="2">
        <v>1</v>
      </c>
      <c r="DK68" s="7">
        <v>44</v>
      </c>
      <c r="DL68" s="2">
        <v>1</v>
      </c>
      <c r="DM68" s="7">
        <v>46</v>
      </c>
      <c r="DN68" s="2">
        <v>1</v>
      </c>
      <c r="DO68" s="7">
        <v>45</v>
      </c>
      <c r="DP68" s="2">
        <v>1</v>
      </c>
      <c r="DQ68" s="7">
        <v>45</v>
      </c>
      <c r="DR68" s="2">
        <v>1</v>
      </c>
      <c r="DS68" s="7">
        <v>45</v>
      </c>
      <c r="DT68" s="2">
        <v>1</v>
      </c>
    </row>
    <row r="69" spans="1:124" x14ac:dyDescent="0.2">
      <c r="A69" t="str">
        <f>HYPERLINK("http://exon.niaid.nih.gov/transcriptome/C_felis/S2/links/pep/Cf-104-pep.txt","Cf-104")</f>
        <v>Cf-104</v>
      </c>
      <c r="B69" s="2">
        <v>2</v>
      </c>
      <c r="C69">
        <v>187</v>
      </c>
      <c r="D69" t="str">
        <f>HYPERLINK("http://exon.niaid.nih.gov/transcriptome/C_felis/S2/links/cds/Cf-104-cds.txt","Cf-104")</f>
        <v>Cf-104</v>
      </c>
      <c r="E69">
        <v>564</v>
      </c>
      <c r="F69" t="s">
        <v>457</v>
      </c>
      <c r="G69">
        <v>0</v>
      </c>
      <c r="I69" s="2" t="s">
        <v>10</v>
      </c>
      <c r="J69" s="2" t="s">
        <v>3</v>
      </c>
      <c r="K69" s="20" t="str">
        <f>HYPERLINK("http://exon.niaid.nih.gov/transcriptome/C_felis/S2/links/Sigp/Cf-104-SigP.txt","CYT")</f>
        <v>CYT</v>
      </c>
      <c r="L69" s="2" t="s">
        <v>7</v>
      </c>
      <c r="M69" s="2">
        <v>21.277000000000001</v>
      </c>
      <c r="N69" s="2">
        <v>10.31</v>
      </c>
      <c r="O69" s="2" t="s">
        <v>7</v>
      </c>
      <c r="P69" s="2" t="s">
        <v>7</v>
      </c>
      <c r="Q69" s="24" t="s">
        <v>556</v>
      </c>
      <c r="R69" s="20">
        <v>0</v>
      </c>
      <c r="S69" s="2" t="s">
        <v>7</v>
      </c>
      <c r="T69" s="2" t="s">
        <v>7</v>
      </c>
      <c r="U69" s="2" t="s">
        <v>7</v>
      </c>
      <c r="V69" s="2" t="s">
        <v>7</v>
      </c>
      <c r="W69" s="2" t="s">
        <v>7</v>
      </c>
      <c r="X69" s="20" t="str">
        <f>HYPERLINK("http://exon.niaid.nih.gov/transcriptome/C_felis/S2/links/netoglyc/CF-104-netoglyc.txt","0")</f>
        <v>0</v>
      </c>
      <c r="Y69" s="2">
        <v>10.199999999999999</v>
      </c>
      <c r="Z69" s="2">
        <v>7</v>
      </c>
      <c r="AA69" s="2">
        <v>3.7</v>
      </c>
      <c r="AB69" t="s">
        <v>437</v>
      </c>
      <c r="AC69" t="s">
        <v>438</v>
      </c>
      <c r="AD69" t="s">
        <v>457</v>
      </c>
      <c r="AE69" s="2">
        <v>2</v>
      </c>
      <c r="AF69" s="4" t="str">
        <f>HYPERLINK("http://exon.niaid.nih.gov/transcriptome/C_felis/S2/links/NR/Cf-104-NR.txt","40S ribosomal protein S8 gi|18253055|gb|AAL62472.1| ribosomal protein S8")</f>
        <v>40S ribosomal protein S8 gi|18253055|gb|AAL62472.1| ribosomal protein S8</v>
      </c>
      <c r="AG69" t="str">
        <f>HYPERLINK("http://www.ncbi.nlm.nih.gov/sutils/blink.cgi?pid=54039568","3E-087")</f>
        <v>3E-087</v>
      </c>
      <c r="AH69" t="str">
        <f>HYPERLINK("http://www.ncbi.nlm.nih.gov/protein/54039568","gi|54039568")</f>
        <v>gi|54039568</v>
      </c>
      <c r="AI69">
        <v>325</v>
      </c>
      <c r="AJ69">
        <v>184</v>
      </c>
      <c r="AK69">
        <v>208</v>
      </c>
      <c r="AL69">
        <v>84</v>
      </c>
      <c r="AM69">
        <v>89</v>
      </c>
      <c r="AN69" t="s">
        <v>68</v>
      </c>
      <c r="AO69" s="4" t="str">
        <f>HYPERLINK("http://exon.niaid.nih.gov/transcriptome/C_felis/S2/links/SWISSP/Cf-104-SWISSP.txt","40S ribosomal protein S8")</f>
        <v>40S ribosomal protein S8</v>
      </c>
      <c r="AP69" t="str">
        <f>HYPERLINK("http://www.uniprot.org/uniprot/Q8WQI5","1E-088")</f>
        <v>1E-088</v>
      </c>
      <c r="AQ69" t="s">
        <v>142</v>
      </c>
      <c r="AR69">
        <v>325</v>
      </c>
      <c r="AS69">
        <v>184</v>
      </c>
      <c r="AT69">
        <v>208</v>
      </c>
      <c r="AU69">
        <v>84</v>
      </c>
      <c r="AV69">
        <v>89</v>
      </c>
      <c r="AW69" t="s">
        <v>68</v>
      </c>
      <c r="AX69" s="4" t="s">
        <v>143</v>
      </c>
      <c r="AY69">
        <f>HYPERLINK("http://exon.niaid.nih.gov/transcriptome/C_felis/S2/links/GO/Cf-104-GO.txt",2E-82)</f>
        <v>1.9999999999999999E-82</v>
      </c>
      <c r="AZ69" t="str">
        <f>HYPERLINK("http://amigo.geneontology.org/cgi-bin/amigo/term_details?term=GO:0003735","GO:0003735")</f>
        <v>GO:0003735</v>
      </c>
      <c r="BA69" t="s">
        <v>53</v>
      </c>
      <c r="BB69" t="s">
        <v>54</v>
      </c>
      <c r="BC69" t="s">
        <v>55</v>
      </c>
      <c r="BD69" t="s">
        <v>7</v>
      </c>
      <c r="BF69" s="5">
        <v>1.9999999999999999E-82</v>
      </c>
      <c r="BG69" t="str">
        <f>HYPERLINK("http://amigo.geneontology.org/cgi-bin/amigo/term_details?term=GO:0005840","GO:0005840")</f>
        <v>GO:0005840</v>
      </c>
      <c r="BH69" t="s">
        <v>94</v>
      </c>
      <c r="BI69" t="s">
        <v>95</v>
      </c>
      <c r="BJ69" t="s">
        <v>96</v>
      </c>
      <c r="BK69" t="s">
        <v>7</v>
      </c>
      <c r="BM69" s="5">
        <v>1.9999999999999999E-82</v>
      </c>
      <c r="BN69" t="str">
        <f>HYPERLINK("http://amigo.geneontology.org/cgi-bin/amigo/term_details?term=GO:0006412","GO:0006412")</f>
        <v>GO:0006412</v>
      </c>
      <c r="BO69" t="s">
        <v>59</v>
      </c>
      <c r="BP69" t="s">
        <v>60</v>
      </c>
      <c r="BQ69" t="s">
        <v>61</v>
      </c>
      <c r="BR69" t="s">
        <v>7</v>
      </c>
      <c r="BT69" s="5">
        <v>1.9999999999999999E-82</v>
      </c>
      <c r="BU69" s="4" t="str">
        <f>HYPERLINK("http://exon.niaid.nih.gov/transcriptome/C_felis/S2/links/KOG/Cf-104-KOG.txt","40S ribosomal protein S8")</f>
        <v>40S ribosomal protein S8</v>
      </c>
      <c r="BV69" t="str">
        <f>HYPERLINK("http://www.ncbi.nlm.nih.gov/COG/grace/shokog.cgi?KOG3283","4E-069")</f>
        <v>4E-069</v>
      </c>
      <c r="BW69" t="s">
        <v>62</v>
      </c>
      <c r="BX69" t="str">
        <f>HYPERLINK("http://exon.niaid.nih.gov/transcriptome/C_felis/S2/links/KOG/Cf-104-KOG.txt","KOG3283")</f>
        <v>KOG3283</v>
      </c>
      <c r="BY69" s="4" t="str">
        <f>HYPERLINK("http://exon.niaid.nih.gov/transcriptome/C_felis/S2/links/CDD/Cf-104-CDD.txt","PTZ00148")</f>
        <v>PTZ00148</v>
      </c>
      <c r="BZ69" t="str">
        <f>HYPERLINK("http://www.ncbi.nlm.nih.gov/Structure/cdd/cddsrv.cgi?uid=PTZ00148&amp;version=v4.0","3E-077")</f>
        <v>3E-077</v>
      </c>
      <c r="CA69" t="s">
        <v>144</v>
      </c>
      <c r="CB69" s="4" t="str">
        <f>HYPERLINK("http://exon.niaid.nih.gov/transcriptome/C_felis/S2/links/PFAM/Cf-104-PFAM.txt","Ribosomal_S8e")</f>
        <v>Ribosomal_S8e</v>
      </c>
      <c r="CC69" t="str">
        <f>HYPERLINK("http://pfam.sanger.ac.uk/family?acc=PF01201","1E-034")</f>
        <v>1E-034</v>
      </c>
      <c r="CD69" s="4" t="str">
        <f>HYPERLINK("http://exon.niaid.nih.gov/transcriptome/C_felis/S2/links/SMART/Cf-104-SMART.txt","ArfGap")</f>
        <v>ArfGap</v>
      </c>
      <c r="CE69" t="str">
        <f>HYPERLINK("http://smart.embl-heidelberg.de/smart/do_annotation.pl?DOMAIN=ArfGap&amp;BLAST=DUMMY","0.83")</f>
        <v>0.83</v>
      </c>
      <c r="CF69" s="4" t="s">
        <v>7</v>
      </c>
      <c r="CG69" t="s">
        <v>7</v>
      </c>
      <c r="CH69" t="s">
        <v>7</v>
      </c>
      <c r="CI69" t="s">
        <v>7</v>
      </c>
      <c r="CJ69" t="s">
        <v>7</v>
      </c>
      <c r="CK69" s="7">
        <f>HYPERLINK("http://exon.niaid.nih.gov/transcriptome/C_felis/S2/links/cluster/cf-pep95-2-Id-CLU6.txt", 6)</f>
        <v>6</v>
      </c>
      <c r="CL69" s="2">
        <f>HYPERLINK("http://exon.niaid.nih.gov/transcriptome/C_felis/S2/links/cluster/cf-pep95-2-Id-CLTL6.txt", 3)</f>
        <v>3</v>
      </c>
      <c r="CM69" s="7">
        <f>HYPERLINK("http://exon.niaid.nih.gov/transcriptome/C_felis/S2/links/cluster/cf-pep100-3-Id-CLU6.txt", 6)</f>
        <v>6</v>
      </c>
      <c r="CN69" s="2">
        <f>HYPERLINK("http://exon.niaid.nih.gov/transcriptome/C_felis/S2/links/cluster/cf-pep100-3-Id-CLTL6.txt", 3)</f>
        <v>3</v>
      </c>
      <c r="CO69" s="7">
        <f>HYPERLINK("http://exon.niaid.nih.gov/transcriptome/C_felis/S2/links/cluster/cf-pep100-4-Id-CLU6.txt", 6)</f>
        <v>6</v>
      </c>
      <c r="CP69" s="2">
        <f>HYPERLINK("http://exon.niaid.nih.gov/transcriptome/C_felis/S2/links/cluster/cf-pep100-4-Id-CLTL6.txt", 3)</f>
        <v>3</v>
      </c>
      <c r="CQ69" s="7">
        <f>HYPERLINK("http://exon.niaid.nih.gov/transcriptome/C_felis/S2/links/cluster/cf-pep25-50-Sim-CLU6.txt", 6)</f>
        <v>6</v>
      </c>
      <c r="CR69" s="2">
        <f>HYPERLINK("http://exon.niaid.nih.gov/transcriptome/C_felis/S2/links/cluster/cf-pep25-50-Sim-CLTL6.txt", 3)</f>
        <v>3</v>
      </c>
      <c r="CS69" s="7">
        <f>HYPERLINK("http://exon.niaid.nih.gov/transcriptome/C_felis/S2/links/cluster/cf-pep30-50-Sim-CLU7.txt", 7)</f>
        <v>7</v>
      </c>
      <c r="CT69" s="2">
        <f>HYPERLINK("http://exon.niaid.nih.gov/transcriptome/C_felis/S2/links/cluster/cf-pep30-50-Sim-CLTL7.txt", 3)</f>
        <v>3</v>
      </c>
      <c r="CU69" s="7">
        <f>HYPERLINK("http://exon.niaid.nih.gov/transcriptome/C_felis/S2/links/cluster/cf-pep35-50-Sim-CLU6.txt", 6)</f>
        <v>6</v>
      </c>
      <c r="CV69" s="2">
        <f>HYPERLINK("http://exon.niaid.nih.gov/transcriptome/C_felis/S2/links/cluster/cf-pep35-50-Sim-CLTL6.txt", 3)</f>
        <v>3</v>
      </c>
      <c r="CW69" s="7">
        <f>HYPERLINK("http://exon.niaid.nih.gov/transcriptome/C_felis/S2/links/cluster/cf-pep40-50-Sim-CLU6.txt", 6)</f>
        <v>6</v>
      </c>
      <c r="CX69" s="2">
        <f>HYPERLINK("http://exon.niaid.nih.gov/transcriptome/C_felis/S2/links/cluster/cf-pep40-50-Sim-CLTL6.txt", 3)</f>
        <v>3</v>
      </c>
      <c r="CY69" s="7">
        <f>HYPERLINK("http://exon.niaid.nih.gov/transcriptome/C_felis/S2/links/cluster/cf-pep45-50-Sim-CLU6.txt", 6)</f>
        <v>6</v>
      </c>
      <c r="CZ69" s="2">
        <f>HYPERLINK("http://exon.niaid.nih.gov/transcriptome/C_felis/S2/links/cluster/cf-pep45-50-Sim-CLTL6.txt", 3)</f>
        <v>3</v>
      </c>
      <c r="DA69" s="7">
        <f>HYPERLINK("http://exon.niaid.nih.gov/transcriptome/C_felis/S2/links/cluster/cf-pep50-50-Sim-CLU6.txt", 6)</f>
        <v>6</v>
      </c>
      <c r="DB69" s="2">
        <f>HYPERLINK("http://exon.niaid.nih.gov/transcriptome/C_felis/S2/links/cluster/cf-pep50-50-Sim-CLTL6.txt", 3)</f>
        <v>3</v>
      </c>
      <c r="DC69" s="7">
        <f>HYPERLINK("http://exon.niaid.nih.gov/transcriptome/C_felis/S2/links/cluster/cf-pep55-50-Sim-CLU6.txt", 6)</f>
        <v>6</v>
      </c>
      <c r="DD69" s="2">
        <f>HYPERLINK("http://exon.niaid.nih.gov/transcriptome/C_felis/S2/links/cluster/cf-pep55-50-Sim-CLTL6.txt", 3)</f>
        <v>3</v>
      </c>
      <c r="DE69" s="7">
        <f>HYPERLINK("http://exon.niaid.nih.gov/transcriptome/C_felis/S2/links/cluster/cf-pep60-50-Sim-CLU4.txt", 4)</f>
        <v>4</v>
      </c>
      <c r="DF69" s="2">
        <f>HYPERLINK("http://exon.niaid.nih.gov/transcriptome/C_felis/S2/links/cluster/cf-pep60-50-Sim-CLTL4.txt", 3)</f>
        <v>3</v>
      </c>
      <c r="DG69" s="7">
        <f>HYPERLINK("http://exon.niaid.nih.gov/transcriptome/C_felis/S2/links/cluster/cf-pep65-50-Sim-CLU4.txt", 4)</f>
        <v>4</v>
      </c>
      <c r="DH69" s="2">
        <f>HYPERLINK("http://exon.niaid.nih.gov/transcriptome/C_felis/S2/links/cluster/cf-pep65-50-Sim-CLTL4.txt", 3)</f>
        <v>3</v>
      </c>
      <c r="DI69" s="7">
        <f>HYPERLINK("http://exon.niaid.nih.gov/transcriptome/C_felis/S2/links/cluster/cf-pep70-50-Sim-CLU4.txt", 4)</f>
        <v>4</v>
      </c>
      <c r="DJ69" s="2">
        <f>HYPERLINK("http://exon.niaid.nih.gov/transcriptome/C_felis/S2/links/cluster/cf-pep70-50-Sim-CLTL4.txt", 3)</f>
        <v>3</v>
      </c>
      <c r="DK69" s="7">
        <f>HYPERLINK("http://exon.niaid.nih.gov/transcriptome/C_felis/S2/links/cluster/cf-pep75-50-Sim-CLU4.txt", 4)</f>
        <v>4</v>
      </c>
      <c r="DL69" s="2">
        <f>HYPERLINK("http://exon.niaid.nih.gov/transcriptome/C_felis/S2/links/cluster/cf-pep75-50-Sim-CLTL4.txt", 3)</f>
        <v>3</v>
      </c>
      <c r="DM69" s="7">
        <f>HYPERLINK("http://exon.niaid.nih.gov/transcriptome/C_felis/S2/links/cluster/cf-pep80-50-Sim-CLU4.txt", 4)</f>
        <v>4</v>
      </c>
      <c r="DN69" s="2">
        <f>HYPERLINK("http://exon.niaid.nih.gov/transcriptome/C_felis/S2/links/cluster/cf-pep80-50-Sim-CLTL4.txt", 3)</f>
        <v>3</v>
      </c>
      <c r="DO69" s="7">
        <f>HYPERLINK("http://exon.niaid.nih.gov/transcriptome/C_felis/S2/links/cluster/cf-pep85-50-Sim-CLU2.txt", 2)</f>
        <v>2</v>
      </c>
      <c r="DP69" s="2">
        <f>HYPERLINK("http://exon.niaid.nih.gov/transcriptome/C_felis/S2/links/cluster/cf-pep85-50-Sim-CLTL2.txt", 3)</f>
        <v>3</v>
      </c>
      <c r="DQ69" s="7">
        <f>HYPERLINK("http://exon.niaid.nih.gov/transcriptome/C_felis/S2/links/cluster/cf-pep90-50-Sim-CLU2.txt", 2)</f>
        <v>2</v>
      </c>
      <c r="DR69" s="2">
        <f>HYPERLINK("http://exon.niaid.nih.gov/transcriptome/C_felis/S2/links/cluster/cf-pep90-50-Sim-CLTL2.txt", 3)</f>
        <v>3</v>
      </c>
      <c r="DS69" s="7">
        <v>9</v>
      </c>
      <c r="DT69" s="2">
        <v>1</v>
      </c>
    </row>
    <row r="70" spans="1:124" x14ac:dyDescent="0.2">
      <c r="A70" t="str">
        <f>HYPERLINK("http://exon.niaid.nih.gov/transcriptome/C_felis/S2/links/pep/Cf-363-pep.txt","Cf-363")</f>
        <v>Cf-363</v>
      </c>
      <c r="B70" s="2">
        <v>1</v>
      </c>
      <c r="C70">
        <v>74</v>
      </c>
      <c r="D70" t="str">
        <f>HYPERLINK("http://exon.niaid.nih.gov/transcriptome/C_felis/S2/links/cds/Cf-363-cds.txt","Cf-363")</f>
        <v>Cf-363</v>
      </c>
      <c r="E70">
        <v>225</v>
      </c>
      <c r="F70" t="s">
        <v>502</v>
      </c>
      <c r="G70">
        <v>0</v>
      </c>
      <c r="I70" s="2" t="s">
        <v>5</v>
      </c>
      <c r="J70" s="2" t="s">
        <v>3</v>
      </c>
      <c r="K70" s="20" t="str">
        <f>HYPERLINK("http://exon.niaid.nih.gov/transcriptome/C_felis/S2/links/Sigp/Cf-363-SigP.txt","CYT")</f>
        <v>CYT</v>
      </c>
      <c r="L70" s="2" t="s">
        <v>7</v>
      </c>
      <c r="M70" s="2">
        <v>8.3249999999999993</v>
      </c>
      <c r="N70" s="2">
        <v>10.8</v>
      </c>
      <c r="O70" s="2" t="s">
        <v>7</v>
      </c>
      <c r="P70" s="2" t="s">
        <v>7</v>
      </c>
      <c r="Q70" s="24" t="s">
        <v>559</v>
      </c>
      <c r="R70" s="20">
        <v>0</v>
      </c>
      <c r="S70" s="2" t="s">
        <v>7</v>
      </c>
      <c r="T70" s="2" t="s">
        <v>7</v>
      </c>
      <c r="U70" s="2" t="s">
        <v>7</v>
      </c>
      <c r="V70" s="2" t="s">
        <v>7</v>
      </c>
      <c r="W70" s="2" t="s">
        <v>7</v>
      </c>
      <c r="X70" s="20" t="str">
        <f>HYPERLINK("http://exon.niaid.nih.gov/transcriptome/C_felis/S2/links/netoglyc/CF-363-netoglyc.txt","5")</f>
        <v>5</v>
      </c>
      <c r="Y70" s="2">
        <v>18.899999999999999</v>
      </c>
      <c r="Z70" s="2">
        <v>6.8</v>
      </c>
      <c r="AA70" s="2">
        <v>2.7</v>
      </c>
      <c r="AB70" t="s">
        <v>437</v>
      </c>
      <c r="AC70" t="s">
        <v>438</v>
      </c>
      <c r="AD70" t="s">
        <v>502</v>
      </c>
      <c r="AE70" s="2">
        <v>1</v>
      </c>
      <c r="AF70" s="4" t="str">
        <f>HYPERLINK("http://exon.niaid.nih.gov/transcriptome/C_felis/S2/links/NR/Cf-363-NR.txt","ribosomal protein L3e")</f>
        <v>ribosomal protein L3e</v>
      </c>
      <c r="AG70" t="str">
        <f>HYPERLINK("http://www.ncbi.nlm.nih.gov/sutils/blink.cgi?pid=342906226","5E-024")</f>
        <v>5E-024</v>
      </c>
      <c r="AH70" t="str">
        <f>HYPERLINK("http://www.ncbi.nlm.nih.gov/protein/342906226","gi|342906226")</f>
        <v>gi|342906226</v>
      </c>
      <c r="AI70">
        <v>114</v>
      </c>
      <c r="AJ70">
        <v>65</v>
      </c>
      <c r="AK70">
        <v>87</v>
      </c>
      <c r="AL70">
        <v>83</v>
      </c>
      <c r="AM70">
        <v>76</v>
      </c>
      <c r="AN70" t="s">
        <v>323</v>
      </c>
      <c r="AO70" s="4" t="str">
        <f>HYPERLINK("http://exon.niaid.nih.gov/transcriptome/C_felis/S2/links/SWISSP/Cf-363-SWISSP.txt","60S ribosomal protein L3")</f>
        <v>60S ribosomal protein L3</v>
      </c>
      <c r="AP70" t="str">
        <f>HYPERLINK("http://www.uniprot.org/uniprot/O16797","5E-023")</f>
        <v>5E-023</v>
      </c>
      <c r="AQ70" t="s">
        <v>324</v>
      </c>
      <c r="AR70">
        <v>106</v>
      </c>
      <c r="AS70">
        <v>74</v>
      </c>
      <c r="AT70">
        <v>416</v>
      </c>
      <c r="AU70">
        <v>72</v>
      </c>
      <c r="AV70">
        <v>18</v>
      </c>
      <c r="AW70" t="s">
        <v>52</v>
      </c>
      <c r="AX70" s="4" t="s">
        <v>325</v>
      </c>
      <c r="AY70">
        <f>HYPERLINK("http://exon.niaid.nih.gov/transcriptome/C_felis/S2/links/GO/Cf-363-GO.txt",3E-23)</f>
        <v>3E-23</v>
      </c>
      <c r="AZ70" t="str">
        <f>HYPERLINK("http://amigo.geneontology.org/cgi-bin/amigo/term_details?term=GO:0003735","GO:0003735")</f>
        <v>GO:0003735</v>
      </c>
      <c r="BA70" t="s">
        <v>53</v>
      </c>
      <c r="BB70" t="s">
        <v>54</v>
      </c>
      <c r="BC70" t="s">
        <v>55</v>
      </c>
      <c r="BD70" t="s">
        <v>7</v>
      </c>
      <c r="BF70" s="5">
        <v>3E-23</v>
      </c>
      <c r="BG70" t="str">
        <f>HYPERLINK("http://amigo.geneontology.org/cgi-bin/amigo/term_details?term=GO:0022625","GO:0022625")</f>
        <v>GO:0022625</v>
      </c>
      <c r="BH70" t="s">
        <v>56</v>
      </c>
      <c r="BI70" t="s">
        <v>57</v>
      </c>
      <c r="BJ70" t="s">
        <v>58</v>
      </c>
      <c r="BK70" t="s">
        <v>7</v>
      </c>
      <c r="BM70" s="5">
        <v>3E-23</v>
      </c>
      <c r="BN70" t="str">
        <f>HYPERLINK("http://amigo.geneontology.org/cgi-bin/amigo/term_details?term=GO:0006412","GO:0006412")</f>
        <v>GO:0006412</v>
      </c>
      <c r="BO70" t="s">
        <v>59</v>
      </c>
      <c r="BP70" t="s">
        <v>60</v>
      </c>
      <c r="BQ70" t="s">
        <v>61</v>
      </c>
      <c r="BR70" t="s">
        <v>7</v>
      </c>
      <c r="BT70" s="5">
        <v>3E-23</v>
      </c>
      <c r="BU70" s="4" t="str">
        <f>HYPERLINK("http://exon.niaid.nih.gov/transcriptome/C_felis/S2/links/KOG/Cf-363-KOG.txt","60S ribosomal protein L3 and related proteins")</f>
        <v>60S ribosomal protein L3 and related proteins</v>
      </c>
      <c r="BV70" t="str">
        <f>HYPERLINK("http://www.ncbi.nlm.nih.gov/COG/grace/shokog.cgi?KOG0746","3E-020")</f>
        <v>3E-020</v>
      </c>
      <c r="BW70" t="s">
        <v>62</v>
      </c>
      <c r="BX70" t="str">
        <f>HYPERLINK("http://exon.niaid.nih.gov/transcriptome/C_felis/S2/links/KOG/Cf-363-KOG.txt","KOG0746")</f>
        <v>KOG0746</v>
      </c>
      <c r="BY70" s="4" t="str">
        <f>HYPERLINK("http://exon.niaid.nih.gov/transcriptome/C_felis/S2/links/CDD/Cf-363-CDD.txt","PTZ00103")</f>
        <v>PTZ00103</v>
      </c>
      <c r="BZ70" t="str">
        <f>HYPERLINK("http://www.ncbi.nlm.nih.gov/Structure/cdd/cddsrv.cgi?uid=PTZ00103&amp;version=v4.0","6E-021")</f>
        <v>6E-021</v>
      </c>
      <c r="CA70" t="s">
        <v>326</v>
      </c>
      <c r="CB70" s="4" t="str">
        <f>HYPERLINK("http://exon.niaid.nih.gov/transcriptome/C_felis/S2/links/PFAM/Cf-363-PFAM.txt","Prismane")</f>
        <v>Prismane</v>
      </c>
      <c r="CC70" t="str">
        <f>HYPERLINK("http://pfam.sanger.ac.uk/family?acc=PF03063","8.4")</f>
        <v>8.4</v>
      </c>
      <c r="CD70" s="4" t="str">
        <f>HYPERLINK("http://exon.niaid.nih.gov/transcriptome/C_felis/S2/links/SMART/Cf-363-SMART.txt","MUTSd")</f>
        <v>MUTSd</v>
      </c>
      <c r="CE70" t="str">
        <f>HYPERLINK("http://smart.embl-heidelberg.de/smart/do_annotation.pl?DOMAIN=MUTSd&amp;BLAST=DUMMY","0.84")</f>
        <v>0.84</v>
      </c>
      <c r="CF70" s="4" t="s">
        <v>7</v>
      </c>
      <c r="CG70" t="s">
        <v>7</v>
      </c>
      <c r="CH70" t="s">
        <v>7</v>
      </c>
      <c r="CI70" t="s">
        <v>7</v>
      </c>
      <c r="CJ70" t="s">
        <v>7</v>
      </c>
      <c r="CK70" s="7">
        <v>83</v>
      </c>
      <c r="CL70" s="2">
        <v>1</v>
      </c>
      <c r="CM70" s="7">
        <v>83</v>
      </c>
      <c r="CN70" s="2">
        <v>1</v>
      </c>
      <c r="CO70" s="7">
        <v>83</v>
      </c>
      <c r="CP70" s="2">
        <v>1</v>
      </c>
      <c r="CQ70" s="7">
        <f>HYPERLINK("http://exon.niaid.nih.gov/transcriptome/C_felis/S2/links/cluster/cf-pep25-50-Sim-CLU2.txt", 2)</f>
        <v>2</v>
      </c>
      <c r="CR70" s="2">
        <f>HYPERLINK("http://exon.niaid.nih.gov/transcriptome/C_felis/S2/links/cluster/cf-pep25-50-Sim-CLTL2.txt", 34)</f>
        <v>34</v>
      </c>
      <c r="CS70" s="7">
        <v>73</v>
      </c>
      <c r="CT70" s="2">
        <v>1</v>
      </c>
      <c r="CU70" s="7">
        <v>82</v>
      </c>
      <c r="CV70" s="2">
        <v>1</v>
      </c>
      <c r="CW70" s="7">
        <v>81</v>
      </c>
      <c r="CX70" s="2">
        <v>1</v>
      </c>
      <c r="CY70" s="7">
        <v>85</v>
      </c>
      <c r="CZ70" s="2">
        <v>1</v>
      </c>
      <c r="DA70" s="7">
        <v>87</v>
      </c>
      <c r="DB70" s="2">
        <v>1</v>
      </c>
      <c r="DC70" s="7">
        <v>88</v>
      </c>
      <c r="DD70" s="2">
        <v>1</v>
      </c>
      <c r="DE70" s="7">
        <v>88</v>
      </c>
      <c r="DF70" s="2">
        <v>1</v>
      </c>
      <c r="DG70" s="7">
        <v>88</v>
      </c>
      <c r="DH70" s="2">
        <v>1</v>
      </c>
      <c r="DI70" s="7">
        <v>89</v>
      </c>
      <c r="DJ70" s="2">
        <v>1</v>
      </c>
      <c r="DK70" s="7">
        <v>89</v>
      </c>
      <c r="DL70" s="2">
        <v>1</v>
      </c>
      <c r="DM70" s="7">
        <v>91</v>
      </c>
      <c r="DN70" s="2">
        <v>1</v>
      </c>
      <c r="DO70" s="7">
        <v>92</v>
      </c>
      <c r="DP70" s="2">
        <v>1</v>
      </c>
      <c r="DQ70" s="7">
        <v>92</v>
      </c>
      <c r="DR70" s="2">
        <v>1</v>
      </c>
      <c r="DS70" s="7">
        <v>93</v>
      </c>
      <c r="DT70" s="2">
        <v>1</v>
      </c>
    </row>
    <row r="71" spans="1:124" x14ac:dyDescent="0.2">
      <c r="A71" t="str">
        <f>HYPERLINK("http://exon.niaid.nih.gov/transcriptome/C_felis/S2/links/pep/Cf-128-pep.txt","Cf-128")</f>
        <v>Cf-128</v>
      </c>
      <c r="B71" s="2">
        <v>6</v>
      </c>
      <c r="C71">
        <v>251</v>
      </c>
      <c r="D71" t="str">
        <f>HYPERLINK("http://exon.niaid.nih.gov/transcriptome/C_felis/S2/links/cds/Cf-128-cds.txt","Cf-128")</f>
        <v>Cf-128</v>
      </c>
      <c r="E71">
        <v>756</v>
      </c>
      <c r="F71" t="s">
        <v>465</v>
      </c>
      <c r="G71">
        <v>0</v>
      </c>
      <c r="I71" s="2" t="s">
        <v>5</v>
      </c>
      <c r="J71" s="2" t="s">
        <v>3</v>
      </c>
      <c r="K71" s="20" t="str">
        <f>HYPERLINK("http://exon.niaid.nih.gov/transcriptome/C_felis/S2/links/Sigp/Cf-128-SigP.txt","CYT")</f>
        <v>CYT</v>
      </c>
      <c r="L71" s="2" t="s">
        <v>7</v>
      </c>
      <c r="M71" s="2">
        <v>28.443000000000001</v>
      </c>
      <c r="N71" s="2">
        <v>9.26</v>
      </c>
      <c r="O71" s="2" t="s">
        <v>7</v>
      </c>
      <c r="P71" s="2" t="s">
        <v>7</v>
      </c>
      <c r="Q71" s="24" t="s">
        <v>556</v>
      </c>
      <c r="R71" s="20">
        <v>0</v>
      </c>
      <c r="S71" s="2" t="s">
        <v>7</v>
      </c>
      <c r="T71" s="2" t="s">
        <v>7</v>
      </c>
      <c r="U71" s="2" t="s">
        <v>7</v>
      </c>
      <c r="V71" s="2" t="s">
        <v>7</v>
      </c>
      <c r="W71" s="2" t="s">
        <v>7</v>
      </c>
      <c r="X71" s="20" t="str">
        <f>HYPERLINK("http://exon.niaid.nih.gov/transcriptome/C_felis/S2/links/netoglyc/CF-128-netoglyc.txt","0")</f>
        <v>0</v>
      </c>
      <c r="Y71" s="2">
        <v>11.2</v>
      </c>
      <c r="Z71" s="2">
        <v>7.2</v>
      </c>
      <c r="AA71" s="2">
        <v>3.2</v>
      </c>
      <c r="AB71" t="s">
        <v>437</v>
      </c>
      <c r="AC71" t="s">
        <v>438</v>
      </c>
      <c r="AD71" t="s">
        <v>465</v>
      </c>
      <c r="AE71" s="2">
        <v>6</v>
      </c>
      <c r="AF71" s="4" t="str">
        <f>HYPERLINK("http://exon.niaid.nih.gov/transcriptome/C_felis/S2/links/NR/Cf-128-NR.txt","40S ribosomal protein S3a gi|57869784|gb|AAW57773.1| Parcxpwex01")</f>
        <v>40S ribosomal protein S3a gi|57869784|gb|AAW57773.1| Parcxpwex01</v>
      </c>
      <c r="AG71" t="str">
        <f>HYPERLINK("http://www.ncbi.nlm.nih.gov/sutils/blink.cgi?pid=74901606","1E-124")</f>
        <v>1E-124</v>
      </c>
      <c r="AH71" t="str">
        <f>HYPERLINK("http://www.ncbi.nlm.nih.gov/protein/74901606","gi|74901606")</f>
        <v>gi|74901606</v>
      </c>
      <c r="AI71">
        <v>448</v>
      </c>
      <c r="AJ71">
        <v>247</v>
      </c>
      <c r="AK71">
        <v>263</v>
      </c>
      <c r="AL71">
        <v>88</v>
      </c>
      <c r="AM71">
        <v>94</v>
      </c>
      <c r="AN71" t="s">
        <v>168</v>
      </c>
      <c r="AO71" s="4" t="str">
        <f>HYPERLINK("http://exon.niaid.nih.gov/transcriptome/C_felis/S2/links/SWISSP/Cf-128-SWISSP.txt","40S ribosomal protein S3a")</f>
        <v>40S ribosomal protein S3a</v>
      </c>
      <c r="AP71" t="str">
        <f>HYPERLINK("http://www.uniprot.org/uniprot/Q5G5C4","1E-125")</f>
        <v>1E-125</v>
      </c>
      <c r="AQ71" t="s">
        <v>169</v>
      </c>
      <c r="AR71">
        <v>448</v>
      </c>
      <c r="AS71">
        <v>247</v>
      </c>
      <c r="AT71">
        <v>263</v>
      </c>
      <c r="AU71">
        <v>88</v>
      </c>
      <c r="AV71">
        <v>94</v>
      </c>
      <c r="AW71" t="s">
        <v>168</v>
      </c>
      <c r="AX71" s="4" t="s">
        <v>170</v>
      </c>
      <c r="AY71">
        <f>HYPERLINK("http://exon.niaid.nih.gov/transcriptome/C_felis/S2/links/GO/Cf-128-GO.txt",0)</f>
        <v>0</v>
      </c>
      <c r="AZ71" t="str">
        <f>HYPERLINK("http://amigo.geneontology.org/cgi-bin/amigo/term_details?term=GO:0003735","GO:0003735")</f>
        <v>GO:0003735</v>
      </c>
      <c r="BA71" t="s">
        <v>53</v>
      </c>
      <c r="BB71" t="s">
        <v>54</v>
      </c>
      <c r="BC71" t="s">
        <v>55</v>
      </c>
      <c r="BD71" t="s">
        <v>7</v>
      </c>
      <c r="BF71" s="5">
        <v>1E-108</v>
      </c>
      <c r="BG71" t="str">
        <f>HYPERLINK("http://amigo.geneontology.org/cgi-bin/amigo/term_details?term=GO:0022627","GO:0022627")</f>
        <v>GO:0022627</v>
      </c>
      <c r="BH71" t="s">
        <v>79</v>
      </c>
      <c r="BI71" t="s">
        <v>80</v>
      </c>
      <c r="BJ71" t="s">
        <v>81</v>
      </c>
      <c r="BK71" t="s">
        <v>7</v>
      </c>
      <c r="BM71" s="5">
        <v>1E-108</v>
      </c>
      <c r="BN71" t="str">
        <f>HYPERLINK("http://amigo.geneontology.org/cgi-bin/amigo/term_details?term=GO:0006412","GO:0006412")</f>
        <v>GO:0006412</v>
      </c>
      <c r="BO71" t="s">
        <v>59</v>
      </c>
      <c r="BP71" t="s">
        <v>60</v>
      </c>
      <c r="BQ71" t="s">
        <v>61</v>
      </c>
      <c r="BR71" t="s">
        <v>7</v>
      </c>
      <c r="BT71" s="5">
        <v>1E-108</v>
      </c>
      <c r="BU71" s="4" t="str">
        <f>HYPERLINK("http://exon.niaid.nih.gov/transcriptome/C_felis/S2/links/KOG/Cf-128-KOG.txt","40S ribosomal protein S3A")</f>
        <v>40S ribosomal protein S3A</v>
      </c>
      <c r="BV71" t="str">
        <f>HYPERLINK("http://www.ncbi.nlm.nih.gov/COG/grace/shokog.cgi?KOG1628","8E-090")</f>
        <v>8E-090</v>
      </c>
      <c r="BW71" t="s">
        <v>62</v>
      </c>
      <c r="BX71" t="str">
        <f>HYPERLINK("http://exon.niaid.nih.gov/transcriptome/C_felis/S2/links/KOG/Cf-128-KOG.txt","KOG1628")</f>
        <v>KOG1628</v>
      </c>
      <c r="BY71" s="4" t="str">
        <f>HYPERLINK("http://exon.niaid.nih.gov/transcriptome/C_felis/S2/links/CDD/Cf-128-CDD.txt","Ribosomal_S3Ae")</f>
        <v>Ribosomal_S3Ae</v>
      </c>
      <c r="BZ71" t="str">
        <f>HYPERLINK("http://www.ncbi.nlm.nih.gov/Structure/cdd/cddsrv.cgi?uid=pfam01015&amp;version=v4.0","6E-081")</f>
        <v>6E-081</v>
      </c>
      <c r="CA71" t="s">
        <v>171</v>
      </c>
      <c r="CB71" s="4" t="str">
        <f>HYPERLINK("http://exon.niaid.nih.gov/transcriptome/C_felis/S2/links/PFAM/Cf-128-PFAM.txt","Ribosomal_S3Ae")</f>
        <v>Ribosomal_S3Ae</v>
      </c>
      <c r="CC71" t="str">
        <f>HYPERLINK("http://pfam.sanger.ac.uk/family?acc=PF01015","1E-081")</f>
        <v>1E-081</v>
      </c>
      <c r="CD71" s="4" t="str">
        <f>HYPERLINK("http://exon.niaid.nih.gov/transcriptome/C_felis/S2/links/SMART/Cf-128-SMART.txt","RL11")</f>
        <v>RL11</v>
      </c>
      <c r="CE71" t="str">
        <f>HYPERLINK("http://smart.embl-heidelberg.de/smart/do_annotation.pl?DOMAIN=RL11&amp;BLAST=DUMMY","1.7")</f>
        <v>1.7</v>
      </c>
      <c r="CF71" s="4" t="s">
        <v>7</v>
      </c>
      <c r="CG71" t="s">
        <v>7</v>
      </c>
      <c r="CH71" t="s">
        <v>7</v>
      </c>
      <c r="CI71" t="s">
        <v>7</v>
      </c>
      <c r="CJ71" t="s">
        <v>7</v>
      </c>
      <c r="CK71" s="7">
        <v>25</v>
      </c>
      <c r="CL71" s="2">
        <v>1</v>
      </c>
      <c r="CM71" s="7">
        <v>25</v>
      </c>
      <c r="CN71" s="2">
        <v>1</v>
      </c>
      <c r="CO71" s="7">
        <v>25</v>
      </c>
      <c r="CP71" s="2">
        <v>1</v>
      </c>
      <c r="CQ71" s="7">
        <v>23</v>
      </c>
      <c r="CR71" s="2">
        <v>1</v>
      </c>
      <c r="CS71" s="7">
        <v>22</v>
      </c>
      <c r="CT71" s="2">
        <v>1</v>
      </c>
      <c r="CU71" s="7">
        <v>27</v>
      </c>
      <c r="CV71" s="2">
        <v>1</v>
      </c>
      <c r="CW71" s="7">
        <v>26</v>
      </c>
      <c r="CX71" s="2">
        <v>1</v>
      </c>
      <c r="CY71" s="7">
        <v>27</v>
      </c>
      <c r="CZ71" s="2">
        <v>1</v>
      </c>
      <c r="DA71" s="7">
        <v>27</v>
      </c>
      <c r="DB71" s="2">
        <v>1</v>
      </c>
      <c r="DC71" s="7">
        <v>26</v>
      </c>
      <c r="DD71" s="2">
        <v>1</v>
      </c>
      <c r="DE71" s="7">
        <v>25</v>
      </c>
      <c r="DF71" s="2">
        <v>1</v>
      </c>
      <c r="DG71" s="7">
        <v>23</v>
      </c>
      <c r="DH71" s="2">
        <v>1</v>
      </c>
      <c r="DI71" s="7">
        <v>24</v>
      </c>
      <c r="DJ71" s="2">
        <v>1</v>
      </c>
      <c r="DK71" s="7">
        <v>24</v>
      </c>
      <c r="DL71" s="2">
        <v>1</v>
      </c>
      <c r="DM71" s="7">
        <v>23</v>
      </c>
      <c r="DN71" s="2">
        <v>1</v>
      </c>
      <c r="DO71" s="7">
        <v>21</v>
      </c>
      <c r="DP71" s="2">
        <v>1</v>
      </c>
      <c r="DQ71" s="7">
        <v>20</v>
      </c>
      <c r="DR71" s="2">
        <v>1</v>
      </c>
      <c r="DS71" s="7">
        <v>18</v>
      </c>
      <c r="DT71" s="2">
        <v>1</v>
      </c>
    </row>
    <row r="72" spans="1:124" x14ac:dyDescent="0.2">
      <c r="A72" t="str">
        <f>HYPERLINK("http://exon.niaid.nih.gov/transcriptome/C_felis/S2/links/pep/Cf-541-pep.txt","Cf-541")</f>
        <v>Cf-541</v>
      </c>
      <c r="B72" s="2">
        <v>1</v>
      </c>
      <c r="C72">
        <v>105</v>
      </c>
      <c r="D72" t="str">
        <f>HYPERLINK("http://exon.niaid.nih.gov/transcriptome/C_felis/S2/links/cds/Cf-541-cds.txt","Cf-541")</f>
        <v>Cf-541</v>
      </c>
      <c r="E72">
        <v>318</v>
      </c>
      <c r="F72" t="s">
        <v>509</v>
      </c>
      <c r="G72">
        <v>0</v>
      </c>
      <c r="I72" s="2" t="s">
        <v>5</v>
      </c>
      <c r="J72" s="2" t="s">
        <v>3</v>
      </c>
      <c r="K72" s="20" t="str">
        <f>HYPERLINK("http://exon.niaid.nih.gov/transcriptome/C_felis/S2/links/Sigp/Cf-541-SigP.txt","CYT")</f>
        <v>CYT</v>
      </c>
      <c r="L72" s="2" t="s">
        <v>7</v>
      </c>
      <c r="M72" s="2">
        <v>11.673999999999999</v>
      </c>
      <c r="N72" s="2">
        <v>5.18</v>
      </c>
      <c r="O72" s="2" t="s">
        <v>7</v>
      </c>
      <c r="P72" s="2" t="s">
        <v>7</v>
      </c>
      <c r="Q72" s="24" t="s">
        <v>572</v>
      </c>
      <c r="R72" s="20">
        <v>0</v>
      </c>
      <c r="S72" s="2" t="s">
        <v>7</v>
      </c>
      <c r="T72" s="2" t="s">
        <v>7</v>
      </c>
      <c r="U72" s="2" t="s">
        <v>7</v>
      </c>
      <c r="V72" s="2" t="s">
        <v>7</v>
      </c>
      <c r="W72" s="2" t="s">
        <v>7</v>
      </c>
      <c r="X72" s="20" t="str">
        <f>HYPERLINK("http://exon.niaid.nih.gov/transcriptome/C_felis/S2/links/netoglyc/CF-541-netoglyc.txt","0")</f>
        <v>0</v>
      </c>
      <c r="Y72" s="2">
        <v>18.100000000000001</v>
      </c>
      <c r="Z72" s="2">
        <v>7.6</v>
      </c>
      <c r="AA72" s="2">
        <v>2.9</v>
      </c>
      <c r="AB72" t="s">
        <v>437</v>
      </c>
      <c r="AC72" t="s">
        <v>438</v>
      </c>
      <c r="AD72" t="s">
        <v>509</v>
      </c>
      <c r="AE72" s="2">
        <v>1</v>
      </c>
      <c r="AF72" s="4" t="str">
        <f>HYPERLINK("http://exon.niaid.nih.gov/transcriptome/C_felis/S2/links/NR/Cf-541-NR.txt","protein transport protein sec13, putative")</f>
        <v>protein transport protein sec13, putative</v>
      </c>
      <c r="AG72" t="str">
        <f>HYPERLINK("http://www.ncbi.nlm.nih.gov/sutils/blink.cgi?pid=242017223","1E-043")</f>
        <v>1E-043</v>
      </c>
      <c r="AH72" t="str">
        <f>HYPERLINK("http://www.ncbi.nlm.nih.gov/protein/242017223","gi|242017223")</f>
        <v>gi|242017223</v>
      </c>
      <c r="AI72">
        <v>179</v>
      </c>
      <c r="AJ72">
        <v>254</v>
      </c>
      <c r="AK72">
        <v>361</v>
      </c>
      <c r="AL72">
        <v>82</v>
      </c>
      <c r="AM72">
        <v>71</v>
      </c>
      <c r="AN72" t="s">
        <v>293</v>
      </c>
      <c r="AO72" s="4" t="str">
        <f>HYPERLINK("http://exon.niaid.nih.gov/transcriptome/C_felis/S2/links/SWISSP/Cf-541-SWISSP.txt","Protein SEC13 homolog")</f>
        <v>Protein SEC13 homolog</v>
      </c>
      <c r="AP72" t="str">
        <f>HYPERLINK("http://www.uniprot.org/uniprot/P55735","2E-037")</f>
        <v>2E-037</v>
      </c>
      <c r="AQ72" t="s">
        <v>355</v>
      </c>
      <c r="AR72">
        <v>154</v>
      </c>
      <c r="AS72">
        <v>251</v>
      </c>
      <c r="AT72">
        <v>322</v>
      </c>
      <c r="AU72">
        <v>73</v>
      </c>
      <c r="AV72">
        <v>78</v>
      </c>
      <c r="AW72" t="s">
        <v>66</v>
      </c>
      <c r="AX72" s="4" t="s">
        <v>356</v>
      </c>
      <c r="AY72">
        <f>HYPERLINK("http://exon.niaid.nih.gov/transcriptome/C_felis/S2/links/GO/Cf-541-GO.txt",1E-37)</f>
        <v>1.0000000000000001E-37</v>
      </c>
      <c r="AZ72" t="str">
        <f>HYPERLINK("http://amigo.geneontology.org/cgi-bin/amigo/term_details?term=GO:0005515","GO:0005515")</f>
        <v>GO:0005515</v>
      </c>
      <c r="BA72" t="s">
        <v>295</v>
      </c>
      <c r="BB72" t="s">
        <v>296</v>
      </c>
      <c r="BC72" t="s">
        <v>297</v>
      </c>
      <c r="BD72" t="s">
        <v>7</v>
      </c>
      <c r="BF72" s="5">
        <v>1.0000000000000001E-37</v>
      </c>
      <c r="BG72" t="str">
        <f>HYPERLINK("http://amigo.geneontology.org/cgi-bin/amigo/term_details?term=GO:0000776","GO:0000776")</f>
        <v>GO:0000776</v>
      </c>
      <c r="BH72" t="s">
        <v>357</v>
      </c>
      <c r="BI72" t="s">
        <v>358</v>
      </c>
      <c r="BJ72" t="s">
        <v>7</v>
      </c>
      <c r="BK72" t="s">
        <v>7</v>
      </c>
      <c r="BM72" s="5">
        <v>1.0000000000000001E-37</v>
      </c>
      <c r="BN72" t="str">
        <f>HYPERLINK("http://amigo.geneontology.org/cgi-bin/amigo/term_details?term=GO:0000087","GO:0000087")</f>
        <v>GO:0000087</v>
      </c>
      <c r="BO72" t="s">
        <v>359</v>
      </c>
      <c r="BP72" t="s">
        <v>360</v>
      </c>
      <c r="BQ72" t="s">
        <v>361</v>
      </c>
      <c r="BR72" t="s">
        <v>7</v>
      </c>
      <c r="BT72" s="5">
        <v>1.0000000000000001E-37</v>
      </c>
      <c r="BU72" s="4" t="str">
        <f>HYPERLINK("http://exon.niaid.nih.gov/transcriptome/C_felis/S2/links/KOG/Cf-541-KOG.txt","Vesicle coat complex COPII, subunit SEC13")</f>
        <v>Vesicle coat complex COPII, subunit SEC13</v>
      </c>
      <c r="BV72" t="str">
        <f>HYPERLINK("http://www.ncbi.nlm.nih.gov/COG/grace/shokog.cgi?KOG1332","1E-029")</f>
        <v>1E-029</v>
      </c>
      <c r="BW72" t="s">
        <v>74</v>
      </c>
      <c r="BX72" t="str">
        <f>HYPERLINK("http://exon.niaid.nih.gov/transcriptome/C_felis/S2/links/KOG/Cf-541-KOG.txt","KOG1332")</f>
        <v>KOG1332</v>
      </c>
      <c r="BY72" s="4" t="str">
        <f>HYPERLINK("http://exon.niaid.nih.gov/transcriptome/C_felis/S2/links/CDD/Cf-541-CDD.txt","WD40")</f>
        <v>WD40</v>
      </c>
      <c r="BZ72" t="str">
        <f>HYPERLINK("http://www.ncbi.nlm.nih.gov/Structure/cdd/cddsrv.cgi?uid=cd00200&amp;version=v4.0","0.003")</f>
        <v>0.003</v>
      </c>
      <c r="CA72" t="s">
        <v>362</v>
      </c>
      <c r="CB72" s="4" t="str">
        <f>HYPERLINK("http://exon.niaid.nih.gov/transcriptome/C_felis/S2/links/PFAM/Cf-541-PFAM.txt","WD40")</f>
        <v>WD40</v>
      </c>
      <c r="CC72" t="str">
        <f>HYPERLINK("http://pfam.sanger.ac.uk/family?acc=PF00400","0.21")</f>
        <v>0.21</v>
      </c>
      <c r="CD72" s="4" t="str">
        <f>HYPERLINK("http://exon.niaid.nih.gov/transcriptome/C_felis/S2/links/SMART/Cf-541-SMART.txt","WD40")</f>
        <v>WD40</v>
      </c>
      <c r="CE72" t="str">
        <f>HYPERLINK("http://smart.embl-heidelberg.de/smart/do_annotation.pl?DOMAIN=WD40&amp;BLAST=DUMMY","0.013")</f>
        <v>0.013</v>
      </c>
      <c r="CF72" s="4" t="s">
        <v>7</v>
      </c>
      <c r="CG72" t="s">
        <v>7</v>
      </c>
      <c r="CH72" t="s">
        <v>7</v>
      </c>
      <c r="CI72" t="s">
        <v>7</v>
      </c>
      <c r="CJ72" t="s">
        <v>7</v>
      </c>
      <c r="CK72" s="7">
        <v>122</v>
      </c>
      <c r="CL72" s="2">
        <v>1</v>
      </c>
      <c r="CM72" s="7">
        <v>122</v>
      </c>
      <c r="CN72" s="2">
        <v>1</v>
      </c>
      <c r="CO72" s="7">
        <v>122</v>
      </c>
      <c r="CP72" s="2">
        <v>1</v>
      </c>
      <c r="CQ72" s="7">
        <v>78</v>
      </c>
      <c r="CR72" s="2">
        <v>1</v>
      </c>
      <c r="CS72" s="7">
        <v>99</v>
      </c>
      <c r="CT72" s="2">
        <v>1</v>
      </c>
      <c r="CU72" s="7">
        <v>110</v>
      </c>
      <c r="CV72" s="2">
        <v>1</v>
      </c>
      <c r="CW72" s="7">
        <v>113</v>
      </c>
      <c r="CX72" s="2">
        <v>1</v>
      </c>
      <c r="CY72" s="7">
        <v>118</v>
      </c>
      <c r="CZ72" s="2">
        <v>1</v>
      </c>
      <c r="DA72" s="7">
        <v>123</v>
      </c>
      <c r="DB72" s="2">
        <v>1</v>
      </c>
      <c r="DC72" s="7">
        <v>125</v>
      </c>
      <c r="DD72" s="2">
        <v>1</v>
      </c>
      <c r="DE72" s="7">
        <v>127</v>
      </c>
      <c r="DF72" s="2">
        <v>1</v>
      </c>
      <c r="DG72" s="7">
        <v>130</v>
      </c>
      <c r="DH72" s="2">
        <v>1</v>
      </c>
      <c r="DI72" s="7">
        <v>131</v>
      </c>
      <c r="DJ72" s="2">
        <v>1</v>
      </c>
      <c r="DK72" s="7">
        <v>133</v>
      </c>
      <c r="DL72" s="2">
        <v>1</v>
      </c>
      <c r="DM72" s="7">
        <v>135</v>
      </c>
      <c r="DN72" s="2">
        <v>1</v>
      </c>
      <c r="DO72" s="7">
        <v>138</v>
      </c>
      <c r="DP72" s="2">
        <v>1</v>
      </c>
      <c r="DQ72" s="7">
        <v>140</v>
      </c>
      <c r="DR72" s="2">
        <v>1</v>
      </c>
      <c r="DS72" s="7">
        <v>142</v>
      </c>
      <c r="DT72" s="2">
        <v>1</v>
      </c>
    </row>
    <row r="73" spans="1:124" x14ac:dyDescent="0.2">
      <c r="A73" t="str">
        <f>HYPERLINK("http://exon.niaid.nih.gov/transcriptome/C_felis/S2/links/pep/Cf-231-pep.txt","Cf-231")</f>
        <v>Cf-231</v>
      </c>
      <c r="B73" s="2">
        <v>3</v>
      </c>
      <c r="C73">
        <v>125</v>
      </c>
      <c r="D73" t="str">
        <f>HYPERLINK("http://exon.niaid.nih.gov/transcriptome/C_felis/S2/links/cds/Cf-231-cds.txt","Cf-231")</f>
        <v>Cf-231</v>
      </c>
      <c r="E73">
        <v>378</v>
      </c>
      <c r="F73" t="s">
        <v>495</v>
      </c>
      <c r="G73">
        <v>0</v>
      </c>
      <c r="I73" s="2" t="s">
        <v>11</v>
      </c>
      <c r="J73" s="2" t="s">
        <v>3</v>
      </c>
      <c r="K73" s="20" t="str">
        <f>HYPERLINK("http://exon.niaid.nih.gov/transcriptome/C_felis/S2/links/Sigp/Cf-231-SigP.txt","CYT")</f>
        <v>CYT</v>
      </c>
      <c r="L73" s="2" t="s">
        <v>7</v>
      </c>
      <c r="M73" s="2">
        <v>14.574</v>
      </c>
      <c r="N73" s="2">
        <v>10.83</v>
      </c>
      <c r="O73" s="2" t="s">
        <v>7</v>
      </c>
      <c r="P73" s="2" t="s">
        <v>7</v>
      </c>
      <c r="Q73" s="24" t="s">
        <v>556</v>
      </c>
      <c r="R73" s="20">
        <v>0</v>
      </c>
      <c r="S73" s="2" t="s">
        <v>7</v>
      </c>
      <c r="T73" s="2" t="s">
        <v>7</v>
      </c>
      <c r="U73" s="2" t="s">
        <v>7</v>
      </c>
      <c r="V73" s="2" t="s">
        <v>7</v>
      </c>
      <c r="W73" s="2" t="s">
        <v>7</v>
      </c>
      <c r="X73" s="20" t="str">
        <f>HYPERLINK("http://exon.niaid.nih.gov/transcriptome/C_felis/S2/links/netoglyc/CF-231-netoglyc.txt","0")</f>
        <v>0</v>
      </c>
      <c r="Y73" s="2">
        <v>6.4</v>
      </c>
      <c r="Z73" s="2">
        <v>7.2</v>
      </c>
      <c r="AA73" s="2">
        <v>5.6</v>
      </c>
      <c r="AB73" t="s">
        <v>437</v>
      </c>
      <c r="AC73" t="s">
        <v>438</v>
      </c>
      <c r="AD73" t="s">
        <v>495</v>
      </c>
      <c r="AE73" s="2">
        <v>3</v>
      </c>
      <c r="AF73" s="4" t="str">
        <f>HYPERLINK("http://exon.niaid.nih.gov/transcriptome/C_felis/S2/links/NR/Cf-231-NR.txt","60S ribosomal protein L13a-like")</f>
        <v>60S ribosomal protein L13a-like</v>
      </c>
      <c r="AG73" t="str">
        <f>HYPERLINK("http://www.ncbi.nlm.nih.gov/sutils/blink.cgi?pid=156544548","1E-054")</f>
        <v>1E-054</v>
      </c>
      <c r="AH73" t="str">
        <f>HYPERLINK("http://www.ncbi.nlm.nih.gov/protein/156544548","gi|156544548")</f>
        <v>gi|156544548</v>
      </c>
      <c r="AI73">
        <v>216</v>
      </c>
      <c r="AJ73">
        <v>121</v>
      </c>
      <c r="AK73">
        <v>204</v>
      </c>
      <c r="AL73">
        <v>80</v>
      </c>
      <c r="AM73">
        <v>60</v>
      </c>
      <c r="AN73" t="s">
        <v>102</v>
      </c>
      <c r="AO73" s="4" t="str">
        <f>HYPERLINK("http://exon.niaid.nih.gov/transcriptome/C_felis/S2/links/SWISSP/Cf-231-SWISSP.txt","60S ribosomal protein L13a")</f>
        <v>60S ribosomal protein L13a</v>
      </c>
      <c r="AP73" t="str">
        <f>HYPERLINK("http://www.uniprot.org/uniprot/Q962U0","1E-048")</f>
        <v>1E-048</v>
      </c>
      <c r="AQ73" t="s">
        <v>287</v>
      </c>
      <c r="AR73">
        <v>191</v>
      </c>
      <c r="AS73">
        <v>121</v>
      </c>
      <c r="AT73">
        <v>204</v>
      </c>
      <c r="AU73">
        <v>69</v>
      </c>
      <c r="AV73">
        <v>60</v>
      </c>
      <c r="AW73" t="s">
        <v>68</v>
      </c>
      <c r="AX73" s="4" t="s">
        <v>288</v>
      </c>
      <c r="AY73">
        <f>HYPERLINK("http://exon.niaid.nih.gov/transcriptome/C_felis/S2/links/GO/Cf-231-GO.txt",1E-36)</f>
        <v>9.9999999999999994E-37</v>
      </c>
      <c r="AZ73" t="str">
        <f t="shared" ref="AZ73:AZ97" si="30">HYPERLINK("http://amigo.geneontology.org/cgi-bin/amigo/term_details?term=GO:0003735","GO:0003735")</f>
        <v>GO:0003735</v>
      </c>
      <c r="BA73" t="s">
        <v>53</v>
      </c>
      <c r="BB73" t="s">
        <v>54</v>
      </c>
      <c r="BC73" t="s">
        <v>55</v>
      </c>
      <c r="BD73" t="s">
        <v>7</v>
      </c>
      <c r="BF73" s="5">
        <v>9.9999999999999994E-37</v>
      </c>
      <c r="BG73" t="str">
        <f>HYPERLINK("http://amigo.geneontology.org/cgi-bin/amigo/term_details?term=GO:0022625","GO:0022625")</f>
        <v>GO:0022625</v>
      </c>
      <c r="BH73" t="s">
        <v>56</v>
      </c>
      <c r="BI73" t="s">
        <v>57</v>
      </c>
      <c r="BJ73" t="s">
        <v>58</v>
      </c>
      <c r="BK73" t="s">
        <v>7</v>
      </c>
      <c r="BM73" s="5">
        <v>9.9999999999999994E-37</v>
      </c>
      <c r="BN73" t="str">
        <f t="shared" ref="BN73:BN97" si="31">HYPERLINK("http://amigo.geneontology.org/cgi-bin/amigo/term_details?term=GO:0006412","GO:0006412")</f>
        <v>GO:0006412</v>
      </c>
      <c r="BO73" t="s">
        <v>59</v>
      </c>
      <c r="BP73" t="s">
        <v>60</v>
      </c>
      <c r="BQ73" t="s">
        <v>61</v>
      </c>
      <c r="BR73" t="s">
        <v>7</v>
      </c>
      <c r="BT73" s="5">
        <v>9.9999999999999994E-37</v>
      </c>
      <c r="BU73" s="4" t="str">
        <f>HYPERLINK("http://exon.niaid.nih.gov/transcriptome/C_felis/S2/links/KOG/Cf-231-KOG.txt","60S ribosomal protein L13a")</f>
        <v>60S ribosomal protein L13a</v>
      </c>
      <c r="BV73" t="str">
        <f>HYPERLINK("http://www.ncbi.nlm.nih.gov/COG/grace/shokog.cgi?KOG3204","3E-028")</f>
        <v>3E-028</v>
      </c>
      <c r="BW73" t="s">
        <v>62</v>
      </c>
      <c r="BX73" t="str">
        <f>HYPERLINK("http://exon.niaid.nih.gov/transcriptome/C_felis/S2/links/KOG/Cf-231-KOG.txt","KOG3204")</f>
        <v>KOG3204</v>
      </c>
      <c r="BY73" s="4" t="str">
        <f>HYPERLINK("http://exon.niaid.nih.gov/transcriptome/C_felis/S2/links/CDD/Cf-231-CDD.txt","PTZ00068")</f>
        <v>PTZ00068</v>
      </c>
      <c r="BZ73" t="str">
        <f>HYPERLINK("http://www.ncbi.nlm.nih.gov/Structure/cdd/cddsrv.cgi?uid=PTZ00068&amp;version=v4.0","6E-032")</f>
        <v>6E-032</v>
      </c>
      <c r="CA73" t="s">
        <v>289</v>
      </c>
      <c r="CB73" s="4" t="str">
        <f>HYPERLINK("http://exon.niaid.nih.gov/transcriptome/C_felis/S2/links/PFAM/Cf-231-PFAM.txt","Ribosomal_L13")</f>
        <v>Ribosomal_L13</v>
      </c>
      <c r="CC73" t="str">
        <f>HYPERLINK("http://pfam.sanger.ac.uk/family?acc=PF00572","2E-006")</f>
        <v>2E-006</v>
      </c>
      <c r="CD73" s="4" t="str">
        <f>HYPERLINK("http://exon.niaid.nih.gov/transcriptome/C_felis/S2/links/SMART/Cf-231-SMART.txt","YqgFc")</f>
        <v>YqgFc</v>
      </c>
      <c r="CE73" t="str">
        <f>HYPERLINK("http://smart.embl-heidelberg.de/smart/do_annotation.pl?DOMAIN=YqgFc&amp;BLAST=DUMMY","0.16")</f>
        <v>0.16</v>
      </c>
      <c r="CF73" s="4" t="s">
        <v>7</v>
      </c>
      <c r="CG73" t="s">
        <v>7</v>
      </c>
      <c r="CH73" t="s">
        <v>7</v>
      </c>
      <c r="CI73" t="s">
        <v>7</v>
      </c>
      <c r="CJ73" t="s">
        <v>7</v>
      </c>
      <c r="CK73" s="7">
        <v>57</v>
      </c>
      <c r="CL73" s="2">
        <v>1</v>
      </c>
      <c r="CM73" s="7">
        <v>57</v>
      </c>
      <c r="CN73" s="2">
        <v>1</v>
      </c>
      <c r="CO73" s="7">
        <v>57</v>
      </c>
      <c r="CP73" s="2">
        <v>1</v>
      </c>
      <c r="CQ73" s="7">
        <f>HYPERLINK("http://exon.niaid.nih.gov/transcriptome/C_felis/S2/links/cluster/cf-pep25-50-Sim-CLU15.txt", 15)</f>
        <v>15</v>
      </c>
      <c r="CR73" s="2">
        <f>HYPERLINK("http://exon.niaid.nih.gov/transcriptome/C_felis/S2/links/cluster/cf-pep25-50-Sim-CLTL15.txt", 2)</f>
        <v>2</v>
      </c>
      <c r="CS73" s="7">
        <v>49</v>
      </c>
      <c r="CT73" s="2">
        <v>1</v>
      </c>
      <c r="CU73" s="7">
        <v>56</v>
      </c>
      <c r="CV73" s="2">
        <v>1</v>
      </c>
      <c r="CW73" s="7">
        <v>55</v>
      </c>
      <c r="CX73" s="2">
        <v>1</v>
      </c>
      <c r="CY73" s="7">
        <v>58</v>
      </c>
      <c r="CZ73" s="2">
        <v>1</v>
      </c>
      <c r="DA73" s="7">
        <v>60</v>
      </c>
      <c r="DB73" s="2">
        <v>1</v>
      </c>
      <c r="DC73" s="7">
        <v>61</v>
      </c>
      <c r="DD73" s="2">
        <v>1</v>
      </c>
      <c r="DE73" s="7">
        <v>60</v>
      </c>
      <c r="DF73" s="2">
        <v>1</v>
      </c>
      <c r="DG73" s="7">
        <v>60</v>
      </c>
      <c r="DH73" s="2">
        <v>1</v>
      </c>
      <c r="DI73" s="7">
        <v>61</v>
      </c>
      <c r="DJ73" s="2">
        <v>1</v>
      </c>
      <c r="DK73" s="7">
        <v>61</v>
      </c>
      <c r="DL73" s="2">
        <v>1</v>
      </c>
      <c r="DM73" s="7">
        <v>63</v>
      </c>
      <c r="DN73" s="2">
        <v>1</v>
      </c>
      <c r="DO73" s="7">
        <v>64</v>
      </c>
      <c r="DP73" s="2">
        <v>1</v>
      </c>
      <c r="DQ73" s="7">
        <v>64</v>
      </c>
      <c r="DR73" s="2">
        <v>1</v>
      </c>
      <c r="DS73" s="7">
        <v>65</v>
      </c>
      <c r="DT73" s="2">
        <v>1</v>
      </c>
    </row>
    <row r="74" spans="1:124" x14ac:dyDescent="0.2">
      <c r="A74" t="str">
        <f>HYPERLINK("http://exon.niaid.nih.gov/transcriptome/C_felis/S2/links/pep/Cf-420-pep.txt","Cf-420")</f>
        <v>Cf-420</v>
      </c>
      <c r="B74" s="2">
        <v>1</v>
      </c>
      <c r="C74">
        <v>138</v>
      </c>
      <c r="D74" t="str">
        <f>HYPERLINK("http://exon.niaid.nih.gov/transcriptome/C_felis/S2/links/cds/Cf-420-cds.txt","Cf-420")</f>
        <v>Cf-420</v>
      </c>
      <c r="E74">
        <v>417</v>
      </c>
      <c r="F74" t="s">
        <v>449</v>
      </c>
      <c r="G74">
        <v>0.72463770000000005</v>
      </c>
      <c r="I74" s="2" t="s">
        <v>16</v>
      </c>
      <c r="J74" s="2" t="s">
        <v>3</v>
      </c>
      <c r="K74" s="20" t="str">
        <f>HYPERLINK("http://exon.niaid.nih.gov/transcriptome/C_felis/S2/links/Sigp/Cf-420-SigP.txt","CYT")</f>
        <v>CYT</v>
      </c>
      <c r="L74" s="2" t="s">
        <v>7</v>
      </c>
      <c r="M74" s="2">
        <v>15.832000000000001</v>
      </c>
      <c r="N74" s="2">
        <v>9.35</v>
      </c>
      <c r="O74" s="2" t="s">
        <v>7</v>
      </c>
      <c r="P74" s="2" t="s">
        <v>7</v>
      </c>
      <c r="Q74" s="24" t="s">
        <v>556</v>
      </c>
      <c r="R74" s="20">
        <v>0</v>
      </c>
      <c r="S74" s="2" t="s">
        <v>7</v>
      </c>
      <c r="T74" s="2" t="s">
        <v>7</v>
      </c>
      <c r="U74" s="2" t="s">
        <v>7</v>
      </c>
      <c r="V74" s="2" t="s">
        <v>7</v>
      </c>
      <c r="W74" s="2" t="s">
        <v>7</v>
      </c>
      <c r="X74" s="20" t="str">
        <f>HYPERLINK("http://exon.niaid.nih.gov/transcriptome/C_felis/S2/links/netoglyc/CF-420-netoglyc.txt","0")</f>
        <v>0</v>
      </c>
      <c r="Y74" s="2">
        <v>10.1</v>
      </c>
      <c r="Z74" s="2">
        <v>5.8</v>
      </c>
      <c r="AA74" s="2">
        <v>2.2000000000000002</v>
      </c>
      <c r="AB74" t="s">
        <v>437</v>
      </c>
      <c r="AC74" t="s">
        <v>438</v>
      </c>
      <c r="AD74" t="s">
        <v>449</v>
      </c>
      <c r="AE74" s="2">
        <v>1</v>
      </c>
      <c r="AF74" s="4" t="str">
        <f>HYPERLINK("http://exon.niaid.nih.gov/transcriptome/C_felis/S2/links/NR/Cf-420-NR.txt","60S ribosomal protein L22-like")</f>
        <v>60S ribosomal protein L22-like</v>
      </c>
      <c r="AG74" t="str">
        <f>HYPERLINK("http://www.ncbi.nlm.nih.gov/sutils/blink.cgi?pid=156553855","2E-049")</f>
        <v>2E-049</v>
      </c>
      <c r="AH74" t="str">
        <f>HYPERLINK("http://www.ncbi.nlm.nih.gov/protein/156553855","gi|156553855")</f>
        <v>gi|156553855</v>
      </c>
      <c r="AI74">
        <v>198</v>
      </c>
      <c r="AJ74">
        <v>128</v>
      </c>
      <c r="AK74">
        <v>141</v>
      </c>
      <c r="AL74">
        <v>76</v>
      </c>
      <c r="AM74">
        <v>91</v>
      </c>
      <c r="AN74" t="s">
        <v>102</v>
      </c>
      <c r="AO74" s="4" t="str">
        <f>HYPERLINK("http://exon.niaid.nih.gov/transcriptome/C_felis/S2/links/SWISSP/Cf-420-SWISSP.txt","60S ribosomal protein L22")</f>
        <v>60S ribosomal protein L22</v>
      </c>
      <c r="AP74" t="str">
        <f>HYPERLINK("http://www.uniprot.org/uniprot/P50887","4E-044")</f>
        <v>4E-044</v>
      </c>
      <c r="AQ74" t="s">
        <v>103</v>
      </c>
      <c r="AR74">
        <v>176</v>
      </c>
      <c r="AS74">
        <v>131</v>
      </c>
      <c r="AT74">
        <v>299</v>
      </c>
      <c r="AU74">
        <v>65</v>
      </c>
      <c r="AV74">
        <v>44</v>
      </c>
      <c r="AW74" t="s">
        <v>52</v>
      </c>
      <c r="AX74" s="4" t="s">
        <v>104</v>
      </c>
      <c r="AY74">
        <f>HYPERLINK("http://exon.niaid.nih.gov/transcriptome/C_felis/S2/links/GO/Cf-420-GO.txt",3E-44)</f>
        <v>3.0000000000000002E-44</v>
      </c>
      <c r="AZ74" t="str">
        <f t="shared" si="30"/>
        <v>GO:0003735</v>
      </c>
      <c r="BA74" t="s">
        <v>53</v>
      </c>
      <c r="BB74" t="s">
        <v>54</v>
      </c>
      <c r="BC74" t="s">
        <v>55</v>
      </c>
      <c r="BD74" t="s">
        <v>7</v>
      </c>
      <c r="BF74" s="5">
        <v>3.0000000000000002E-44</v>
      </c>
      <c r="BG74" t="str">
        <f>HYPERLINK("http://amigo.geneontology.org/cgi-bin/amigo/term_details?term=GO:0022625","GO:0022625")</f>
        <v>GO:0022625</v>
      </c>
      <c r="BH74" t="s">
        <v>56</v>
      </c>
      <c r="BI74" t="s">
        <v>57</v>
      </c>
      <c r="BJ74" t="s">
        <v>58</v>
      </c>
      <c r="BK74" t="s">
        <v>7</v>
      </c>
      <c r="BM74" s="5">
        <v>3.0000000000000002E-44</v>
      </c>
      <c r="BN74" t="str">
        <f t="shared" si="31"/>
        <v>GO:0006412</v>
      </c>
      <c r="BO74" t="s">
        <v>59</v>
      </c>
      <c r="BP74" t="s">
        <v>60</v>
      </c>
      <c r="BQ74" t="s">
        <v>61</v>
      </c>
      <c r="BR74" t="s">
        <v>7</v>
      </c>
      <c r="BT74" s="5">
        <v>3.0000000000000002E-44</v>
      </c>
      <c r="BU74" s="4" t="str">
        <f>HYPERLINK("http://exon.niaid.nih.gov/transcriptome/C_felis/S2/links/KOG/Cf-420-KOG.txt","60S ribosomal protein L22")</f>
        <v>60S ribosomal protein L22</v>
      </c>
      <c r="BV74" t="str">
        <f>HYPERLINK("http://www.ncbi.nlm.nih.gov/COG/grace/shokog.cgi?KOG3434","9E-038")</f>
        <v>9E-038</v>
      </c>
      <c r="BW74" t="s">
        <v>62</v>
      </c>
      <c r="BX74" t="str">
        <f>HYPERLINK("http://exon.niaid.nih.gov/transcriptome/C_felis/S2/links/KOG/Cf-420-KOG.txt","KOG3434")</f>
        <v>KOG3434</v>
      </c>
      <c r="BY74" s="4" t="str">
        <f>HYPERLINK("http://exon.niaid.nih.gov/transcriptome/C_felis/S2/links/CDD/Cf-420-CDD.txt","Ribosomal_L22e")</f>
        <v>Ribosomal_L22e</v>
      </c>
      <c r="BZ74" t="str">
        <f>HYPERLINK("http://www.ncbi.nlm.nih.gov/Structure/cdd/cddsrv.cgi?uid=pfam01776&amp;version=v4.0","3E-045")</f>
        <v>3E-045</v>
      </c>
      <c r="CA74" t="s">
        <v>105</v>
      </c>
      <c r="CB74" s="4" t="str">
        <f>HYPERLINK("http://exon.niaid.nih.gov/transcriptome/C_felis/S2/links/PFAM/Cf-420-PFAM.txt","Ribosomal_L22e")</f>
        <v>Ribosomal_L22e</v>
      </c>
      <c r="CC74" t="str">
        <f>HYPERLINK("http://pfam.sanger.ac.uk/family?acc=PF01776","7E-046")</f>
        <v>7E-046</v>
      </c>
      <c r="CD74" s="4" t="str">
        <f>HYPERLINK("http://exon.niaid.nih.gov/transcriptome/C_felis/S2/links/SMART/Cf-420-SMART.txt","PKS_DH")</f>
        <v>PKS_DH</v>
      </c>
      <c r="CE74" t="str">
        <f>HYPERLINK("http://smart.embl-heidelberg.de/smart/do_annotation.pl?DOMAIN=PKS_DH&amp;BLAST=DUMMY","0.069")</f>
        <v>0.069</v>
      </c>
      <c r="CF74" s="4" t="s">
        <v>7</v>
      </c>
      <c r="CG74" t="s">
        <v>7</v>
      </c>
      <c r="CH74" t="s">
        <v>7</v>
      </c>
      <c r="CI74" t="s">
        <v>7</v>
      </c>
      <c r="CJ74" t="s">
        <v>7</v>
      </c>
      <c r="CK74" s="7">
        <v>99</v>
      </c>
      <c r="CL74" s="2">
        <v>1</v>
      </c>
      <c r="CM74" s="7">
        <v>99</v>
      </c>
      <c r="CN74" s="2">
        <v>1</v>
      </c>
      <c r="CO74" s="7">
        <v>99</v>
      </c>
      <c r="CP74" s="2">
        <v>1</v>
      </c>
      <c r="CQ74" s="7">
        <v>66</v>
      </c>
      <c r="CR74" s="2">
        <v>1</v>
      </c>
      <c r="CS74" s="7">
        <v>83</v>
      </c>
      <c r="CT74" s="2">
        <v>1</v>
      </c>
      <c r="CU74" s="7">
        <v>92</v>
      </c>
      <c r="CV74" s="2">
        <v>1</v>
      </c>
      <c r="CW74" s="7">
        <v>94</v>
      </c>
      <c r="CX74" s="2">
        <v>1</v>
      </c>
      <c r="CY74" s="7">
        <v>98</v>
      </c>
      <c r="CZ74" s="2">
        <v>1</v>
      </c>
      <c r="DA74" s="7">
        <v>100</v>
      </c>
      <c r="DB74" s="2">
        <v>1</v>
      </c>
      <c r="DC74" s="7">
        <v>101</v>
      </c>
      <c r="DD74" s="2">
        <v>1</v>
      </c>
      <c r="DE74" s="7">
        <v>102</v>
      </c>
      <c r="DF74" s="2">
        <v>1</v>
      </c>
      <c r="DG74" s="7">
        <v>105</v>
      </c>
      <c r="DH74" s="2">
        <v>1</v>
      </c>
      <c r="DI74" s="7">
        <v>106</v>
      </c>
      <c r="DJ74" s="2">
        <v>1</v>
      </c>
      <c r="DK74" s="7">
        <v>106</v>
      </c>
      <c r="DL74" s="2">
        <v>1</v>
      </c>
      <c r="DM74" s="7">
        <v>108</v>
      </c>
      <c r="DN74" s="2">
        <v>1</v>
      </c>
      <c r="DO74" s="7">
        <v>109</v>
      </c>
      <c r="DP74" s="2">
        <v>1</v>
      </c>
      <c r="DQ74" s="7">
        <v>111</v>
      </c>
      <c r="DR74" s="2">
        <v>1</v>
      </c>
      <c r="DS74" s="7">
        <v>112</v>
      </c>
      <c r="DT74" s="2">
        <v>1</v>
      </c>
    </row>
    <row r="75" spans="1:124" x14ac:dyDescent="0.2">
      <c r="A75" t="str">
        <f>HYPERLINK("http://exon.niaid.nih.gov/transcriptome/C_felis/S2/links/pep/Cf-801-pep.txt","Cf-801")</f>
        <v>Cf-801</v>
      </c>
      <c r="B75" s="2">
        <v>1</v>
      </c>
      <c r="C75">
        <v>133</v>
      </c>
      <c r="D75" t="str">
        <f>HYPERLINK("http://exon.niaid.nih.gov/transcriptome/C_felis/S2/links/cds/Cf-801-cds.txt","Cf-801")</f>
        <v>Cf-801</v>
      </c>
      <c r="E75">
        <v>402</v>
      </c>
      <c r="F75" t="s">
        <v>517</v>
      </c>
      <c r="G75">
        <v>0</v>
      </c>
      <c r="I75" s="2" t="s">
        <v>13</v>
      </c>
      <c r="J75" s="2" t="s">
        <v>3</v>
      </c>
      <c r="K75" s="20" t="str">
        <f>HYPERLINK("http://exon.niaid.nih.gov/transcriptome/C_felis/S2/links/Sigp/Cf-801-SigP.txt","CYT")</f>
        <v>CYT</v>
      </c>
      <c r="L75" s="2" t="s">
        <v>7</v>
      </c>
      <c r="M75" s="2">
        <v>14.948</v>
      </c>
      <c r="N75" s="2">
        <v>10.24</v>
      </c>
      <c r="O75" s="2" t="s">
        <v>7</v>
      </c>
      <c r="P75" s="2" t="s">
        <v>7</v>
      </c>
      <c r="Q75" s="24" t="s">
        <v>571</v>
      </c>
      <c r="R75" s="20">
        <v>0</v>
      </c>
      <c r="S75" s="2" t="s">
        <v>7</v>
      </c>
      <c r="T75" s="2" t="s">
        <v>7</v>
      </c>
      <c r="U75" s="2" t="s">
        <v>7</v>
      </c>
      <c r="V75" s="2" t="s">
        <v>7</v>
      </c>
      <c r="W75" s="2" t="s">
        <v>7</v>
      </c>
      <c r="X75" s="20" t="str">
        <f>HYPERLINK("http://exon.niaid.nih.gov/transcriptome/C_felis/S2/links/netoglyc/CF-801-netoglyc.txt","1")</f>
        <v>1</v>
      </c>
      <c r="Y75" s="2">
        <v>7.5</v>
      </c>
      <c r="Z75" s="2">
        <v>8.3000000000000007</v>
      </c>
      <c r="AA75" s="2">
        <v>7.5</v>
      </c>
      <c r="AB75" t="s">
        <v>437</v>
      </c>
      <c r="AC75" t="s">
        <v>438</v>
      </c>
      <c r="AD75" t="s">
        <v>517</v>
      </c>
      <c r="AE75" s="2">
        <v>1</v>
      </c>
      <c r="AF75" s="4" t="str">
        <f>HYPERLINK("http://exon.niaid.nih.gov/transcriptome/C_felis/S2/links/NR/Cf-801-NR.txt","ribosomal protein S15e")</f>
        <v>ribosomal protein S15e</v>
      </c>
      <c r="AG75" t="str">
        <f>HYPERLINK("http://www.ncbi.nlm.nih.gov/sutils/blink.cgi?pid=70909559","1E-066")</f>
        <v>1E-066</v>
      </c>
      <c r="AH75" t="str">
        <f>HYPERLINK("http://www.ncbi.nlm.nih.gov/protein/70909559","gi|70909559")</f>
        <v>gi|70909559</v>
      </c>
      <c r="AI75">
        <v>256</v>
      </c>
      <c r="AJ75">
        <v>129</v>
      </c>
      <c r="AK75">
        <v>148</v>
      </c>
      <c r="AL75">
        <v>96</v>
      </c>
      <c r="AM75">
        <v>88</v>
      </c>
      <c r="AN75" t="s">
        <v>405</v>
      </c>
      <c r="AO75" s="4" t="str">
        <f>HYPERLINK("http://exon.niaid.nih.gov/transcriptome/C_felis/S2/links/SWISSP/Cf-801-SWISSP.txt","40S ribosomal protein S15")</f>
        <v>40S ribosomal protein S15</v>
      </c>
      <c r="AP75" t="str">
        <f>HYPERLINK("http://www.uniprot.org/uniprot/Q945U1","2E-060")</f>
        <v>2E-060</v>
      </c>
      <c r="AQ75" t="s">
        <v>406</v>
      </c>
      <c r="AR75">
        <v>230</v>
      </c>
      <c r="AS75">
        <v>126</v>
      </c>
      <c r="AT75">
        <v>153</v>
      </c>
      <c r="AU75">
        <v>85</v>
      </c>
      <c r="AV75">
        <v>83</v>
      </c>
      <c r="AW75" t="s">
        <v>407</v>
      </c>
      <c r="AX75" s="4" t="s">
        <v>408</v>
      </c>
      <c r="AY75">
        <f>HYPERLINK("http://exon.niaid.nih.gov/transcriptome/C_felis/S2/links/GO/Cf-801-GO.txt",5E-64)</f>
        <v>5.0000000000000003E-64</v>
      </c>
      <c r="AZ75" t="str">
        <f t="shared" si="30"/>
        <v>GO:0003735</v>
      </c>
      <c r="BA75" t="s">
        <v>53</v>
      </c>
      <c r="BB75" t="s">
        <v>54</v>
      </c>
      <c r="BC75" t="s">
        <v>55</v>
      </c>
      <c r="BD75" t="s">
        <v>7</v>
      </c>
      <c r="BF75" s="5">
        <v>5.0000000000000003E-64</v>
      </c>
      <c r="BG75" t="str">
        <f>HYPERLINK("http://amigo.geneontology.org/cgi-bin/amigo/term_details?term=GO:0022627","GO:0022627")</f>
        <v>GO:0022627</v>
      </c>
      <c r="BH75" t="s">
        <v>79</v>
      </c>
      <c r="BI75" t="s">
        <v>80</v>
      </c>
      <c r="BJ75" t="s">
        <v>81</v>
      </c>
      <c r="BK75" t="s">
        <v>7</v>
      </c>
      <c r="BM75" s="5">
        <v>5.0000000000000003E-64</v>
      </c>
      <c r="BN75" t="str">
        <f t="shared" si="31"/>
        <v>GO:0006412</v>
      </c>
      <c r="BO75" t="s">
        <v>59</v>
      </c>
      <c r="BP75" t="s">
        <v>60</v>
      </c>
      <c r="BQ75" t="s">
        <v>61</v>
      </c>
      <c r="BR75" t="s">
        <v>7</v>
      </c>
      <c r="BT75" s="5">
        <v>5.0000000000000003E-64</v>
      </c>
      <c r="BU75" s="4" t="str">
        <f>HYPERLINK("http://exon.niaid.nih.gov/transcriptome/C_felis/S2/links/KOG/Cf-801-KOG.txt","40S ribosomal protein S15")</f>
        <v>40S ribosomal protein S15</v>
      </c>
      <c r="BV75" t="str">
        <f>HYPERLINK("http://www.ncbi.nlm.nih.gov/COG/grace/shokog.cgi?KOG0898","1E-063")</f>
        <v>1E-063</v>
      </c>
      <c r="BW75" t="s">
        <v>62</v>
      </c>
      <c r="BX75" t="str">
        <f>HYPERLINK("http://exon.niaid.nih.gov/transcriptome/C_felis/S2/links/KOG/Cf-801-KOG.txt","KOG0898")</f>
        <v>KOG0898</v>
      </c>
      <c r="BY75" s="4" t="str">
        <f>HYPERLINK("http://exon.niaid.nih.gov/transcriptome/C_felis/S2/links/CDD/Cf-801-CDD.txt","PTZ00096")</f>
        <v>PTZ00096</v>
      </c>
      <c r="BZ75" t="str">
        <f>HYPERLINK("http://www.ncbi.nlm.nih.gov/Structure/cdd/cddsrv.cgi?uid=PTZ00096&amp;version=v4.0","2E-062")</f>
        <v>2E-062</v>
      </c>
      <c r="CA75" t="s">
        <v>409</v>
      </c>
      <c r="CB75" s="4" t="str">
        <f>HYPERLINK("http://exon.niaid.nih.gov/transcriptome/C_felis/S2/links/PFAM/Cf-801-PFAM.txt","Ribosomal_S19")</f>
        <v>Ribosomal_S19</v>
      </c>
      <c r="CC75" t="str">
        <f>HYPERLINK("http://pfam.sanger.ac.uk/family?acc=PF00203","3E-031")</f>
        <v>3E-031</v>
      </c>
      <c r="CD75" s="4" t="str">
        <f>HYPERLINK("http://exon.niaid.nih.gov/transcriptome/C_felis/S2/links/SMART/Cf-801-SMART.txt","AIP3")</f>
        <v>AIP3</v>
      </c>
      <c r="CE75" t="str">
        <f>HYPERLINK("http://smart.embl-heidelberg.de/smart/do_annotation.pl?DOMAIN=AIP3&amp;BLAST=DUMMY","0.34")</f>
        <v>0.34</v>
      </c>
      <c r="CF75" s="4" t="s">
        <v>7</v>
      </c>
      <c r="CG75" t="s">
        <v>7</v>
      </c>
      <c r="CH75" t="s">
        <v>7</v>
      </c>
      <c r="CI75" t="s">
        <v>7</v>
      </c>
      <c r="CJ75" t="s">
        <v>7</v>
      </c>
      <c r="CK75" s="7">
        <v>167</v>
      </c>
      <c r="CL75" s="2">
        <v>1</v>
      </c>
      <c r="CM75" s="7">
        <v>167</v>
      </c>
      <c r="CN75" s="2">
        <v>1</v>
      </c>
      <c r="CO75" s="7">
        <v>167</v>
      </c>
      <c r="CP75" s="2">
        <v>1</v>
      </c>
      <c r="CQ75" s="7">
        <v>105</v>
      </c>
      <c r="CR75" s="2">
        <v>1</v>
      </c>
      <c r="CS75" s="7">
        <v>133</v>
      </c>
      <c r="CT75" s="2">
        <v>1</v>
      </c>
      <c r="CU75" s="7">
        <v>144</v>
      </c>
      <c r="CV75" s="2">
        <v>1</v>
      </c>
      <c r="CW75" s="7">
        <v>152</v>
      </c>
      <c r="CX75" s="2">
        <v>1</v>
      </c>
      <c r="CY75" s="7">
        <v>160</v>
      </c>
      <c r="CZ75" s="2">
        <v>1</v>
      </c>
      <c r="DA75" s="7">
        <v>170</v>
      </c>
      <c r="DB75" s="2">
        <v>1</v>
      </c>
      <c r="DC75" s="7">
        <v>172</v>
      </c>
      <c r="DD75" s="2">
        <v>1</v>
      </c>
      <c r="DE75" s="7">
        <v>178</v>
      </c>
      <c r="DF75" s="2">
        <v>1</v>
      </c>
      <c r="DG75" s="7">
        <v>183</v>
      </c>
      <c r="DH75" s="2">
        <v>1</v>
      </c>
      <c r="DI75" s="7">
        <v>185</v>
      </c>
      <c r="DJ75" s="2">
        <v>1</v>
      </c>
      <c r="DK75" s="7">
        <v>187</v>
      </c>
      <c r="DL75" s="2">
        <v>1</v>
      </c>
      <c r="DM75" s="7">
        <v>189</v>
      </c>
      <c r="DN75" s="2">
        <v>1</v>
      </c>
      <c r="DO75" s="7">
        <v>194</v>
      </c>
      <c r="DP75" s="2">
        <v>1</v>
      </c>
      <c r="DQ75" s="7">
        <v>196</v>
      </c>
      <c r="DR75" s="2">
        <v>1</v>
      </c>
      <c r="DS75" s="7">
        <v>201</v>
      </c>
      <c r="DT75" s="2">
        <v>1</v>
      </c>
    </row>
    <row r="76" spans="1:124" x14ac:dyDescent="0.2">
      <c r="A76" t="str">
        <f>HYPERLINK("http://exon.niaid.nih.gov/transcriptome/C_felis/S2/links/pep/Cf-521-pep.txt","Cf-521")</f>
        <v>Cf-521</v>
      </c>
      <c r="B76" s="2">
        <v>1</v>
      </c>
      <c r="C76">
        <v>56</v>
      </c>
      <c r="D76" t="str">
        <f>HYPERLINK("http://exon.niaid.nih.gov/transcriptome/C_felis/S2/links/cds/Cf-521-cds.txt","Cf-521")</f>
        <v>Cf-521</v>
      </c>
      <c r="E76">
        <v>171</v>
      </c>
      <c r="F76" t="s">
        <v>508</v>
      </c>
      <c r="G76">
        <v>0</v>
      </c>
      <c r="I76" s="2" t="s">
        <v>11</v>
      </c>
      <c r="J76" s="2" t="s">
        <v>3</v>
      </c>
      <c r="K76" s="20" t="str">
        <f>HYPERLINK("http://exon.niaid.nih.gov/transcriptome/C_felis/S2/links/Sigp/Cf-521-SigP.txt","BL/SIG")</f>
        <v>BL/SIG</v>
      </c>
      <c r="L76" s="2" t="s">
        <v>7</v>
      </c>
      <c r="M76" s="2">
        <v>5.6970000000000001</v>
      </c>
      <c r="N76" s="2">
        <v>4.7699999999999996</v>
      </c>
      <c r="O76" s="2" t="s">
        <v>7</v>
      </c>
      <c r="P76" s="2" t="s">
        <v>7</v>
      </c>
      <c r="Q76" s="24" t="s">
        <v>582</v>
      </c>
      <c r="R76" s="20">
        <v>0</v>
      </c>
      <c r="S76" s="2" t="s">
        <v>7</v>
      </c>
      <c r="T76" s="2" t="s">
        <v>7</v>
      </c>
      <c r="U76" s="2" t="s">
        <v>7</v>
      </c>
      <c r="V76" s="2" t="s">
        <v>7</v>
      </c>
      <c r="W76" s="2" t="s">
        <v>7</v>
      </c>
      <c r="X76" s="20" t="str">
        <f>HYPERLINK("http://exon.niaid.nih.gov/transcriptome/C_felis/S2/links/netoglyc/CF-521-netoglyc.txt","1")</f>
        <v>1</v>
      </c>
      <c r="Y76" s="2">
        <v>7.1</v>
      </c>
      <c r="Z76" s="2">
        <v>16.100000000000001</v>
      </c>
      <c r="AA76" s="2">
        <v>5.4</v>
      </c>
      <c r="AB76" t="s">
        <v>437</v>
      </c>
      <c r="AC76" t="s">
        <v>438</v>
      </c>
      <c r="AD76" t="s">
        <v>508</v>
      </c>
      <c r="AE76" s="2">
        <v>1</v>
      </c>
      <c r="AF76" s="4" t="str">
        <f>HYPERLINK("http://exon.niaid.nih.gov/transcriptome/C_felis/S2/links/NR/Cf-521-NR.txt","ribosomal protein P2")</f>
        <v>ribosomal protein P2</v>
      </c>
      <c r="AG76" t="str">
        <f>HYPERLINK("http://www.ncbi.nlm.nih.gov/sutils/blink.cgi?pid=268306500","1E-016")</f>
        <v>1E-016</v>
      </c>
      <c r="AH76" t="str">
        <f>HYPERLINK("http://www.ncbi.nlm.nih.gov/protein/268306500","gi|268306500")</f>
        <v>gi|268306500</v>
      </c>
      <c r="AI76">
        <v>90.1</v>
      </c>
      <c r="AJ76">
        <v>55</v>
      </c>
      <c r="AK76">
        <v>113</v>
      </c>
      <c r="AL76">
        <v>83</v>
      </c>
      <c r="AM76">
        <v>50</v>
      </c>
      <c r="AN76" t="s">
        <v>51</v>
      </c>
      <c r="AO76" s="4" t="str">
        <f>HYPERLINK("http://exon.niaid.nih.gov/transcriptome/C_felis/S2/links/SWISSP/Cf-521-SWISSP.txt","60S acidic ribosomal protein P2")</f>
        <v>60S acidic ribosomal protein P2</v>
      </c>
      <c r="AP76" t="str">
        <f>HYPERLINK("http://www.uniprot.org/uniprot/P05389","8E-015")</f>
        <v>8E-015</v>
      </c>
      <c r="AQ76" t="s">
        <v>349</v>
      </c>
      <c r="AR76">
        <v>79</v>
      </c>
      <c r="AS76">
        <v>55</v>
      </c>
      <c r="AT76">
        <v>113</v>
      </c>
      <c r="AU76">
        <v>76</v>
      </c>
      <c r="AV76">
        <v>50</v>
      </c>
      <c r="AW76" t="s">
        <v>52</v>
      </c>
      <c r="AX76" s="4" t="s">
        <v>350</v>
      </c>
      <c r="AY76">
        <f>HYPERLINK("http://exon.niaid.nih.gov/transcriptome/C_felis/S2/links/GO/Cf-521-GO.txt",0.000000000000006)</f>
        <v>5.9999999999999997E-15</v>
      </c>
      <c r="AZ76" t="str">
        <f t="shared" si="30"/>
        <v>GO:0003735</v>
      </c>
      <c r="BA76" t="s">
        <v>53</v>
      </c>
      <c r="BB76" t="s">
        <v>54</v>
      </c>
      <c r="BC76" t="s">
        <v>55</v>
      </c>
      <c r="BD76" t="s">
        <v>7</v>
      </c>
      <c r="BF76">
        <v>5.9999999999999997E-15</v>
      </c>
      <c r="BG76" t="str">
        <f>HYPERLINK("http://amigo.geneontology.org/cgi-bin/amigo/term_details?term=GO:0022626","GO:0022626")</f>
        <v>GO:0022626</v>
      </c>
      <c r="BH76" t="s">
        <v>351</v>
      </c>
      <c r="BI76" t="s">
        <v>352</v>
      </c>
      <c r="BJ76" t="s">
        <v>353</v>
      </c>
      <c r="BK76" t="s">
        <v>7</v>
      </c>
      <c r="BM76">
        <v>5.9999999999999997E-15</v>
      </c>
      <c r="BN76" t="str">
        <f t="shared" si="31"/>
        <v>GO:0006412</v>
      </c>
      <c r="BO76" t="s">
        <v>59</v>
      </c>
      <c r="BP76" t="s">
        <v>60</v>
      </c>
      <c r="BQ76" t="s">
        <v>61</v>
      </c>
      <c r="BR76" t="s">
        <v>7</v>
      </c>
      <c r="BT76">
        <v>5.9999999999999997E-15</v>
      </c>
      <c r="BU76" s="4" t="str">
        <f>HYPERLINK("http://exon.niaid.nih.gov/transcriptome/C_felis/S2/links/KOG/Cf-521-KOG.txt","60S acidic ribosomal protein P2")</f>
        <v>60S acidic ribosomal protein P2</v>
      </c>
      <c r="BV76" t="str">
        <f>HYPERLINK("http://www.ncbi.nlm.nih.gov/COG/grace/shokog.cgi?KOG3449","3E-006")</f>
        <v>3E-006</v>
      </c>
      <c r="BW76" t="s">
        <v>62</v>
      </c>
      <c r="BX76" t="str">
        <f>HYPERLINK("http://exon.niaid.nih.gov/transcriptome/C_felis/S2/links/KOG/Cf-521-KOG.txt","KOG3449")</f>
        <v>KOG3449</v>
      </c>
      <c r="BY76" s="4" t="str">
        <f>HYPERLINK("http://exon.niaid.nih.gov/transcriptome/C_felis/S2/links/CDD/Cf-521-CDD.txt","Ribosomal_P2")</f>
        <v>Ribosomal_P2</v>
      </c>
      <c r="BZ76" t="str">
        <f>HYPERLINK("http://www.ncbi.nlm.nih.gov/Structure/cdd/cddsrv.cgi?uid=cd05833&amp;version=v4.0","3E-007")</f>
        <v>3E-007</v>
      </c>
      <c r="CA76" t="s">
        <v>354</v>
      </c>
      <c r="CB76" s="4" t="str">
        <f>HYPERLINK("http://exon.niaid.nih.gov/transcriptome/C_felis/S2/links/PFAM/Cf-521-PFAM.txt","Ribosomal_60s")</f>
        <v>Ribosomal_60s</v>
      </c>
      <c r="CC76" t="str">
        <f>HYPERLINK("http://pfam.sanger.ac.uk/family?acc=PF00428","4E-004")</f>
        <v>4E-004</v>
      </c>
      <c r="CD76" s="4" t="str">
        <f>HYPERLINK("http://exon.niaid.nih.gov/transcriptome/C_felis/S2/links/SMART/Cf-521-SMART.txt","SHR3_chaperone")</f>
        <v>SHR3_chaperone</v>
      </c>
      <c r="CE76" t="str">
        <f>HYPERLINK("http://smart.embl-heidelberg.de/smart/do_annotation.pl?DOMAIN=SHR3_chaperone&amp;BLAST=DUMMY","0.70")</f>
        <v>0.70</v>
      </c>
      <c r="CF76" s="4" t="s">
        <v>7</v>
      </c>
      <c r="CG76" t="s">
        <v>7</v>
      </c>
      <c r="CH76" t="s">
        <v>7</v>
      </c>
      <c r="CI76" t="s">
        <v>7</v>
      </c>
      <c r="CJ76" t="s">
        <v>7</v>
      </c>
      <c r="CK76" s="7">
        <v>121</v>
      </c>
      <c r="CL76" s="2">
        <v>1</v>
      </c>
      <c r="CM76" s="7">
        <v>121</v>
      </c>
      <c r="CN76" s="2">
        <v>1</v>
      </c>
      <c r="CO76" s="7">
        <v>121</v>
      </c>
      <c r="CP76" s="2">
        <v>1</v>
      </c>
      <c r="CQ76" s="7">
        <v>77</v>
      </c>
      <c r="CR76" s="2">
        <v>1</v>
      </c>
      <c r="CS76" s="7">
        <v>98</v>
      </c>
      <c r="CT76" s="2">
        <v>1</v>
      </c>
      <c r="CU76" s="7">
        <v>109</v>
      </c>
      <c r="CV76" s="2">
        <v>1</v>
      </c>
      <c r="CW76" s="7">
        <v>112</v>
      </c>
      <c r="CX76" s="2">
        <v>1</v>
      </c>
      <c r="CY76" s="7">
        <v>117</v>
      </c>
      <c r="CZ76" s="2">
        <v>1</v>
      </c>
      <c r="DA76" s="7">
        <v>121</v>
      </c>
      <c r="DB76" s="2">
        <v>1</v>
      </c>
      <c r="DC76" s="7">
        <v>123</v>
      </c>
      <c r="DD76" s="2">
        <v>1</v>
      </c>
      <c r="DE76" s="7">
        <v>125</v>
      </c>
      <c r="DF76" s="2">
        <v>1</v>
      </c>
      <c r="DG76" s="7">
        <v>128</v>
      </c>
      <c r="DH76" s="2">
        <v>1</v>
      </c>
      <c r="DI76" s="7">
        <v>129</v>
      </c>
      <c r="DJ76" s="2">
        <v>1</v>
      </c>
      <c r="DK76" s="7">
        <v>131</v>
      </c>
      <c r="DL76" s="2">
        <v>1</v>
      </c>
      <c r="DM76" s="7">
        <v>133</v>
      </c>
      <c r="DN76" s="2">
        <v>1</v>
      </c>
      <c r="DO76" s="7">
        <v>136</v>
      </c>
      <c r="DP76" s="2">
        <v>1</v>
      </c>
      <c r="DQ76" s="7">
        <v>138</v>
      </c>
      <c r="DR76" s="2">
        <v>1</v>
      </c>
      <c r="DS76" s="7">
        <v>140</v>
      </c>
      <c r="DT76" s="2">
        <v>1</v>
      </c>
    </row>
    <row r="77" spans="1:124" x14ac:dyDescent="0.2">
      <c r="A77" t="str">
        <f>HYPERLINK("http://exon.niaid.nih.gov/transcriptome/C_felis/S2/links/pep/Cf-249-pep.txt","Cf-249")</f>
        <v>Cf-249</v>
      </c>
      <c r="B77" s="2">
        <v>1</v>
      </c>
      <c r="C77">
        <v>265</v>
      </c>
      <c r="D77" t="str">
        <f>HYPERLINK("http://exon.niaid.nih.gov/transcriptome/C_felis/S2/links/cds/Cf-249-cds.txt","Cf-249")</f>
        <v>Cf-249</v>
      </c>
      <c r="E77">
        <v>798</v>
      </c>
      <c r="F77" t="s">
        <v>446</v>
      </c>
      <c r="G77">
        <v>1.1320749999999999</v>
      </c>
      <c r="I77" s="2" t="s">
        <v>10</v>
      </c>
      <c r="J77" s="2" t="s">
        <v>3</v>
      </c>
      <c r="K77" s="20" t="str">
        <f>HYPERLINK("http://exon.niaid.nih.gov/transcriptome/C_felis/S2/links/Sigp/Cf-249-SigP.txt","CYT")</f>
        <v>CYT</v>
      </c>
      <c r="L77" s="2" t="s">
        <v>7</v>
      </c>
      <c r="M77" s="2">
        <v>29.216999999999999</v>
      </c>
      <c r="N77" s="2">
        <v>5.69</v>
      </c>
      <c r="O77" s="2" t="s">
        <v>7</v>
      </c>
      <c r="P77" s="2" t="s">
        <v>7</v>
      </c>
      <c r="Q77" s="24" t="s">
        <v>576</v>
      </c>
      <c r="R77" s="20">
        <v>0</v>
      </c>
      <c r="S77" s="2" t="s">
        <v>7</v>
      </c>
      <c r="T77" s="2" t="s">
        <v>7</v>
      </c>
      <c r="U77" s="2" t="s">
        <v>7</v>
      </c>
      <c r="V77" s="2" t="s">
        <v>7</v>
      </c>
      <c r="W77" s="2" t="s">
        <v>7</v>
      </c>
      <c r="X77" s="20" t="str">
        <f>HYPERLINK("http://exon.niaid.nih.gov/transcriptome/C_felis/S2/links/netoglyc/CF-249-netoglyc.txt","6")</f>
        <v>6</v>
      </c>
      <c r="Y77" s="2">
        <v>8.3000000000000007</v>
      </c>
      <c r="Z77" s="2">
        <v>5.3</v>
      </c>
      <c r="AA77" s="2">
        <v>8.6999999999999993</v>
      </c>
      <c r="AB77" t="s">
        <v>437</v>
      </c>
      <c r="AC77" t="s">
        <v>438</v>
      </c>
      <c r="AD77" t="s">
        <v>446</v>
      </c>
      <c r="AE77" s="2">
        <v>1</v>
      </c>
      <c r="AF77" s="4" t="str">
        <f>HYPERLINK("http://exon.niaid.nih.gov/transcriptome/C_felis/S2/links/NR/Cf-249-NR.txt","40S ribosomal protein SA gi|121543783|gb|ABM55561.1| putative ribosomal protein")</f>
        <v>40S ribosomal protein SA gi|121543783|gb|ABM55561.1| putative ribosomal protein</v>
      </c>
      <c r="AG77" t="str">
        <f>HYPERLINK("http://www.ncbi.nlm.nih.gov/sutils/blink.cgi?pid=229891590","7E-083")</f>
        <v>7E-083</v>
      </c>
      <c r="AH77" t="str">
        <f>HYPERLINK("http://www.ncbi.nlm.nih.gov/protein/229891590","gi|229891590")</f>
        <v>gi|229891590</v>
      </c>
      <c r="AI77">
        <v>311</v>
      </c>
      <c r="AJ77">
        <v>266</v>
      </c>
      <c r="AK77">
        <v>308</v>
      </c>
      <c r="AL77">
        <v>62</v>
      </c>
      <c r="AM77">
        <v>87</v>
      </c>
      <c r="AN77" t="s">
        <v>91</v>
      </c>
      <c r="AO77" s="4" t="str">
        <f>HYPERLINK("http://exon.niaid.nih.gov/transcriptome/C_felis/S2/links/SWISSP/Cf-249-SWISSP.txt","40S ribosomal protein SA")</f>
        <v>40S ribosomal protein SA</v>
      </c>
      <c r="AP77" t="str">
        <f>HYPERLINK("http://www.uniprot.org/uniprot/A2I3Z2","3E-084")</f>
        <v>3E-084</v>
      </c>
      <c r="AQ77" t="s">
        <v>92</v>
      </c>
      <c r="AR77">
        <v>311</v>
      </c>
      <c r="AS77">
        <v>266</v>
      </c>
      <c r="AT77">
        <v>308</v>
      </c>
      <c r="AU77">
        <v>62</v>
      </c>
      <c r="AV77">
        <v>87</v>
      </c>
      <c r="AW77" t="s">
        <v>91</v>
      </c>
      <c r="AX77" s="4" t="s">
        <v>93</v>
      </c>
      <c r="AY77">
        <f>HYPERLINK("http://exon.niaid.nih.gov/transcriptome/C_felis/S2/links/GO/Cf-249-GO.txt",1E-73)</f>
        <v>1E-73</v>
      </c>
      <c r="AZ77" t="str">
        <f t="shared" si="30"/>
        <v>GO:0003735</v>
      </c>
      <c r="BA77" t="s">
        <v>53</v>
      </c>
      <c r="BB77" t="s">
        <v>54</v>
      </c>
      <c r="BC77" t="s">
        <v>55</v>
      </c>
      <c r="BD77" t="s">
        <v>7</v>
      </c>
      <c r="BF77" s="5">
        <v>1E-73</v>
      </c>
      <c r="BG77" t="str">
        <f>HYPERLINK("http://amigo.geneontology.org/cgi-bin/amigo/term_details?term=GO:0005840","GO:0005840")</f>
        <v>GO:0005840</v>
      </c>
      <c r="BH77" t="s">
        <v>94</v>
      </c>
      <c r="BI77" t="s">
        <v>95</v>
      </c>
      <c r="BJ77" t="s">
        <v>96</v>
      </c>
      <c r="BK77" t="s">
        <v>7</v>
      </c>
      <c r="BM77" s="5">
        <v>1E-73</v>
      </c>
      <c r="BN77" t="str">
        <f t="shared" si="31"/>
        <v>GO:0006412</v>
      </c>
      <c r="BO77" t="s">
        <v>59</v>
      </c>
      <c r="BP77" t="s">
        <v>60</v>
      </c>
      <c r="BQ77" t="s">
        <v>61</v>
      </c>
      <c r="BR77" t="s">
        <v>7</v>
      </c>
      <c r="BT77" s="5">
        <v>1E-73</v>
      </c>
      <c r="BU77" s="4" t="str">
        <f>HYPERLINK("http://exon.niaid.nih.gov/transcriptome/C_felis/S2/links/KOG/Cf-249-KOG.txt","40S ribosomal protein SA (P40)/Laminin receptor 1")</f>
        <v>40S ribosomal protein SA (P40)/Laminin receptor 1</v>
      </c>
      <c r="BV77" t="str">
        <f>HYPERLINK("http://www.ncbi.nlm.nih.gov/COG/grace/shokog.cgi?KOG0830","3E-066")</f>
        <v>3E-066</v>
      </c>
      <c r="BW77" t="s">
        <v>62</v>
      </c>
      <c r="BX77" t="str">
        <f>HYPERLINK("http://exon.niaid.nih.gov/transcriptome/C_felis/S2/links/KOG/Cf-249-KOG.txt","KOG0830")</f>
        <v>KOG0830</v>
      </c>
      <c r="BY77" s="4" t="str">
        <f>HYPERLINK("http://exon.niaid.nih.gov/transcriptome/C_felis/S2/links/CDD/Cf-249-CDD.txt","PTZ00254")</f>
        <v>PTZ00254</v>
      </c>
      <c r="BZ77" t="str">
        <f>HYPERLINK("http://www.ncbi.nlm.nih.gov/Structure/cdd/cddsrv.cgi?uid=PTZ00254&amp;version=v4.0","1E-079")</f>
        <v>1E-079</v>
      </c>
      <c r="CA77" t="s">
        <v>97</v>
      </c>
      <c r="CB77" s="4" t="str">
        <f>HYPERLINK("http://exon.niaid.nih.gov/transcriptome/C_felis/S2/links/PFAM/Cf-249-PFAM.txt","Ribosomal_S2")</f>
        <v>Ribosomal_S2</v>
      </c>
      <c r="CC77" t="str">
        <f>HYPERLINK("http://pfam.sanger.ac.uk/family?acc=PF00318","1E-040")</f>
        <v>1E-040</v>
      </c>
      <c r="CD77" s="4" t="str">
        <f>HYPERLINK("http://exon.niaid.nih.gov/transcriptome/C_felis/S2/links/SMART/Cf-249-SMART.txt","UAS")</f>
        <v>UAS</v>
      </c>
      <c r="CE77" t="str">
        <f>HYPERLINK("http://smart.embl-heidelberg.de/smart/do_annotation.pl?DOMAIN=UAS&amp;BLAST=DUMMY","0.51")</f>
        <v>0.51</v>
      </c>
      <c r="CF77" s="4" t="s">
        <v>7</v>
      </c>
      <c r="CG77" t="s">
        <v>7</v>
      </c>
      <c r="CH77" t="s">
        <v>7</v>
      </c>
      <c r="CI77" t="s">
        <v>7</v>
      </c>
      <c r="CJ77" t="s">
        <v>7</v>
      </c>
      <c r="CK77" s="7">
        <v>64</v>
      </c>
      <c r="CL77" s="2">
        <v>1</v>
      </c>
      <c r="CM77" s="7">
        <v>64</v>
      </c>
      <c r="CN77" s="2">
        <v>1</v>
      </c>
      <c r="CO77" s="7">
        <v>64</v>
      </c>
      <c r="CP77" s="2">
        <v>1</v>
      </c>
      <c r="CQ77" s="7">
        <v>48</v>
      </c>
      <c r="CR77" s="2">
        <v>1</v>
      </c>
      <c r="CS77" s="7">
        <v>57</v>
      </c>
      <c r="CT77" s="2">
        <v>1</v>
      </c>
      <c r="CU77" s="7">
        <v>65</v>
      </c>
      <c r="CV77" s="2">
        <v>1</v>
      </c>
      <c r="CW77" s="7">
        <v>64</v>
      </c>
      <c r="CX77" s="2">
        <v>1</v>
      </c>
      <c r="CY77" s="7">
        <v>67</v>
      </c>
      <c r="CZ77" s="2">
        <v>1</v>
      </c>
      <c r="DA77" s="7">
        <v>69</v>
      </c>
      <c r="DB77" s="2">
        <v>1</v>
      </c>
      <c r="DC77" s="7">
        <v>70</v>
      </c>
      <c r="DD77" s="2">
        <v>1</v>
      </c>
      <c r="DE77" s="7">
        <v>69</v>
      </c>
      <c r="DF77" s="2">
        <v>1</v>
      </c>
      <c r="DG77" s="7">
        <v>69</v>
      </c>
      <c r="DH77" s="2">
        <v>1</v>
      </c>
      <c r="DI77" s="7">
        <v>70</v>
      </c>
      <c r="DJ77" s="2">
        <v>1</v>
      </c>
      <c r="DK77" s="7">
        <v>70</v>
      </c>
      <c r="DL77" s="2">
        <v>1</v>
      </c>
      <c r="DM77" s="7">
        <v>72</v>
      </c>
      <c r="DN77" s="2">
        <v>1</v>
      </c>
      <c r="DO77" s="7">
        <v>73</v>
      </c>
      <c r="DP77" s="2">
        <v>1</v>
      </c>
      <c r="DQ77" s="7">
        <v>73</v>
      </c>
      <c r="DR77" s="2">
        <v>1</v>
      </c>
      <c r="DS77" s="7">
        <v>74</v>
      </c>
      <c r="DT77" s="2">
        <v>1</v>
      </c>
    </row>
    <row r="78" spans="1:124" x14ac:dyDescent="0.2">
      <c r="A78" t="str">
        <f>HYPERLINK("http://exon.niaid.nih.gov/transcriptome/C_felis/S2/links/pep/Cf-753-pep.txt","Cf-753")</f>
        <v>Cf-753</v>
      </c>
      <c r="B78" s="2">
        <v>1</v>
      </c>
      <c r="C78">
        <v>143</v>
      </c>
      <c r="D78" t="str">
        <f>HYPERLINK("http://exon.niaid.nih.gov/transcriptome/C_felis/S2/links/cds/Cf-753-cds.txt","Cf-753")</f>
        <v>Cf-753</v>
      </c>
      <c r="E78">
        <v>432</v>
      </c>
      <c r="F78" t="s">
        <v>515</v>
      </c>
      <c r="G78">
        <v>0</v>
      </c>
      <c r="I78" s="2" t="s">
        <v>10</v>
      </c>
      <c r="J78" s="2" t="s">
        <v>3</v>
      </c>
      <c r="K78" s="20" t="str">
        <f>HYPERLINK("http://exon.niaid.nih.gov/transcriptome/C_felis/S2/links/Sigp/Cf-753-SigP.txt","CYT")</f>
        <v>CYT</v>
      </c>
      <c r="L78" s="2" t="s">
        <v>7</v>
      </c>
      <c r="M78" s="2">
        <v>16.198</v>
      </c>
      <c r="N78" s="2">
        <v>9.7200000000000006</v>
      </c>
      <c r="O78" s="2" t="s">
        <v>7</v>
      </c>
      <c r="P78" s="2" t="s">
        <v>7</v>
      </c>
      <c r="Q78" s="24" t="s">
        <v>578</v>
      </c>
      <c r="R78" s="20">
        <v>0</v>
      </c>
      <c r="S78" s="2" t="s">
        <v>7</v>
      </c>
      <c r="T78" s="2" t="s">
        <v>7</v>
      </c>
      <c r="U78" s="2" t="s">
        <v>7</v>
      </c>
      <c r="V78" s="2" t="s">
        <v>7</v>
      </c>
      <c r="W78" s="2" t="s">
        <v>7</v>
      </c>
      <c r="X78" s="20" t="str">
        <f>HYPERLINK("http://exon.niaid.nih.gov/transcriptome/C_felis/S2/links/netoglyc/CF-753-netoglyc.txt","0")</f>
        <v>0</v>
      </c>
      <c r="Y78" s="2">
        <v>8.4</v>
      </c>
      <c r="Z78" s="2">
        <v>11.2</v>
      </c>
      <c r="AA78" s="2">
        <v>3.5</v>
      </c>
      <c r="AB78" t="s">
        <v>437</v>
      </c>
      <c r="AC78" t="s">
        <v>438</v>
      </c>
      <c r="AD78" t="s">
        <v>515</v>
      </c>
      <c r="AE78" s="2">
        <v>1</v>
      </c>
      <c r="AF78" s="4" t="str">
        <f>HYPERLINK("http://exon.niaid.nih.gov/transcriptome/C_felis/S2/links/NR/Cf-753-NR.txt","ribosomal protein L11")</f>
        <v>ribosomal protein L11</v>
      </c>
      <c r="AG78" t="str">
        <f>HYPERLINK("http://www.ncbi.nlm.nih.gov/sutils/blink.cgi?pid=342356337","8E-065")</f>
        <v>8E-065</v>
      </c>
      <c r="AH78" t="str">
        <f>HYPERLINK("http://www.ncbi.nlm.nih.gov/protein/342356337","gi|342356337")</f>
        <v>gi|342356337</v>
      </c>
      <c r="AI78">
        <v>249</v>
      </c>
      <c r="AJ78">
        <v>140</v>
      </c>
      <c r="AK78">
        <v>197</v>
      </c>
      <c r="AL78">
        <v>89</v>
      </c>
      <c r="AM78">
        <v>72</v>
      </c>
      <c r="AN78" t="s">
        <v>83</v>
      </c>
      <c r="AO78" s="4" t="str">
        <f>HYPERLINK("http://exon.niaid.nih.gov/transcriptome/C_felis/S2/links/SWISSP/Cf-753-SWISSP.txt","60S ribosomal protein L11")</f>
        <v>60S ribosomal protein L11</v>
      </c>
      <c r="AP78" t="str">
        <f>HYPERLINK("http://www.uniprot.org/uniprot/P46222","6E-063")</f>
        <v>6E-063</v>
      </c>
      <c r="AQ78" t="s">
        <v>396</v>
      </c>
      <c r="AR78">
        <v>238</v>
      </c>
      <c r="AS78">
        <v>140</v>
      </c>
      <c r="AT78">
        <v>184</v>
      </c>
      <c r="AU78">
        <v>84</v>
      </c>
      <c r="AV78">
        <v>77</v>
      </c>
      <c r="AW78" t="s">
        <v>52</v>
      </c>
      <c r="AX78" s="4" t="s">
        <v>397</v>
      </c>
      <c r="AY78">
        <f>HYPERLINK("http://exon.niaid.nih.gov/transcriptome/C_felis/S2/links/GO/Cf-753-GO.txt",5E-63)</f>
        <v>5.0000000000000002E-63</v>
      </c>
      <c r="AZ78" t="str">
        <f t="shared" si="30"/>
        <v>GO:0003735</v>
      </c>
      <c r="BA78" t="s">
        <v>53</v>
      </c>
      <c r="BB78" t="s">
        <v>54</v>
      </c>
      <c r="BC78" t="s">
        <v>55</v>
      </c>
      <c r="BD78" t="s">
        <v>7</v>
      </c>
      <c r="BF78" s="5">
        <v>5.0000000000000002E-63</v>
      </c>
      <c r="BG78" t="str">
        <f>HYPERLINK("http://amigo.geneontology.org/cgi-bin/amigo/term_details?term=GO:0022625","GO:0022625")</f>
        <v>GO:0022625</v>
      </c>
      <c r="BH78" t="s">
        <v>56</v>
      </c>
      <c r="BI78" t="s">
        <v>57</v>
      </c>
      <c r="BJ78" t="s">
        <v>58</v>
      </c>
      <c r="BK78" t="s">
        <v>7</v>
      </c>
      <c r="BM78" s="5">
        <v>5.0000000000000002E-63</v>
      </c>
      <c r="BN78" t="str">
        <f t="shared" si="31"/>
        <v>GO:0006412</v>
      </c>
      <c r="BO78" t="s">
        <v>59</v>
      </c>
      <c r="BP78" t="s">
        <v>60</v>
      </c>
      <c r="BQ78" t="s">
        <v>61</v>
      </c>
      <c r="BR78" t="s">
        <v>7</v>
      </c>
      <c r="BT78" s="5">
        <v>5.0000000000000002E-63</v>
      </c>
      <c r="BU78" s="4" t="str">
        <f>HYPERLINK("http://exon.niaid.nih.gov/transcriptome/C_felis/S2/links/KOG/Cf-753-KOG.txt","60S ribosomal protein L11")</f>
        <v>60S ribosomal protein L11</v>
      </c>
      <c r="BV78" t="str">
        <f>HYPERLINK("http://www.ncbi.nlm.nih.gov/COG/grace/shokog.cgi?KOG0397","1E-060")</f>
        <v>1E-060</v>
      </c>
      <c r="BW78" t="s">
        <v>62</v>
      </c>
      <c r="BX78" t="str">
        <f>HYPERLINK("http://exon.niaid.nih.gov/transcriptome/C_felis/S2/links/KOG/Cf-753-KOG.txt","KOG0397")</f>
        <v>KOG0397</v>
      </c>
      <c r="BY78" s="4" t="str">
        <f>HYPERLINK("http://exon.niaid.nih.gov/transcriptome/C_felis/S2/links/CDD/Cf-753-CDD.txt","PTZ00156")</f>
        <v>PTZ00156</v>
      </c>
      <c r="BZ78" t="str">
        <f>HYPERLINK("http://www.ncbi.nlm.nih.gov/Structure/cdd/cddsrv.cgi?uid=PTZ00156&amp;version=v4.0","2E-063")</f>
        <v>2E-063</v>
      </c>
      <c r="CA78" t="s">
        <v>398</v>
      </c>
      <c r="CB78" s="4" t="str">
        <f>HYPERLINK("http://exon.niaid.nih.gov/transcriptome/C_felis/S2/links/PFAM/Cf-753-PFAM.txt","Ribosomal_L5_C")</f>
        <v>Ribosomal_L5_C</v>
      </c>
      <c r="CC78" t="str">
        <f>HYPERLINK("http://pfam.sanger.ac.uk/family?acc=PF00673","2E-024")</f>
        <v>2E-024</v>
      </c>
      <c r="CD78" s="4" t="str">
        <f>HYPERLINK("http://exon.niaid.nih.gov/transcriptome/C_felis/S2/links/SMART/Cf-753-SMART.txt","PKS_MT")</f>
        <v>PKS_MT</v>
      </c>
      <c r="CE78" t="str">
        <f>HYPERLINK("http://smart.embl-heidelberg.de/smart/do_annotation.pl?DOMAIN=PKS_MT&amp;BLAST=DUMMY","1.1")</f>
        <v>1.1</v>
      </c>
      <c r="CF78" s="4" t="s">
        <v>7</v>
      </c>
      <c r="CG78" t="s">
        <v>7</v>
      </c>
      <c r="CH78" t="s">
        <v>7</v>
      </c>
      <c r="CI78" t="s">
        <v>7</v>
      </c>
      <c r="CJ78" t="s">
        <v>7</v>
      </c>
      <c r="CK78" s="7">
        <v>159</v>
      </c>
      <c r="CL78" s="2">
        <v>1</v>
      </c>
      <c r="CM78" s="7">
        <v>159</v>
      </c>
      <c r="CN78" s="2">
        <v>1</v>
      </c>
      <c r="CO78" s="7">
        <v>159</v>
      </c>
      <c r="CP78" s="2">
        <v>1</v>
      </c>
      <c r="CQ78" s="7">
        <v>99</v>
      </c>
      <c r="CR78" s="2">
        <v>1</v>
      </c>
      <c r="CS78" s="7">
        <v>126</v>
      </c>
      <c r="CT78" s="2">
        <v>1</v>
      </c>
      <c r="CU78" s="7">
        <v>137</v>
      </c>
      <c r="CV78" s="2">
        <v>1</v>
      </c>
      <c r="CW78" s="7">
        <v>145</v>
      </c>
      <c r="CX78" s="2">
        <v>1</v>
      </c>
      <c r="CY78" s="7">
        <v>151</v>
      </c>
      <c r="CZ78" s="2">
        <v>1</v>
      </c>
      <c r="DA78" s="7">
        <v>161</v>
      </c>
      <c r="DB78" s="2">
        <v>1</v>
      </c>
      <c r="DC78" s="7">
        <v>163</v>
      </c>
      <c r="DD78" s="2">
        <v>1</v>
      </c>
      <c r="DE78" s="7">
        <v>168</v>
      </c>
      <c r="DF78" s="2">
        <v>1</v>
      </c>
      <c r="DG78" s="7">
        <v>173</v>
      </c>
      <c r="DH78" s="2">
        <v>1</v>
      </c>
      <c r="DI78" s="7">
        <v>174</v>
      </c>
      <c r="DJ78" s="2">
        <v>1</v>
      </c>
      <c r="DK78" s="7">
        <v>176</v>
      </c>
      <c r="DL78" s="2">
        <v>1</v>
      </c>
      <c r="DM78" s="7">
        <v>178</v>
      </c>
      <c r="DN78" s="2">
        <v>1</v>
      </c>
      <c r="DO78" s="7">
        <v>182</v>
      </c>
      <c r="DP78" s="2">
        <v>1</v>
      </c>
      <c r="DQ78" s="7">
        <v>184</v>
      </c>
      <c r="DR78" s="2">
        <v>1</v>
      </c>
      <c r="DS78" s="7">
        <v>189</v>
      </c>
      <c r="DT78" s="2">
        <v>1</v>
      </c>
    </row>
    <row r="79" spans="1:124" x14ac:dyDescent="0.2">
      <c r="A79" t="str">
        <f>HYPERLINK("http://exon.niaid.nih.gov/transcriptome/C_felis/S2/links/pep/Cf-587-pep.txt","Cf-587")</f>
        <v>Cf-587</v>
      </c>
      <c r="B79" s="2">
        <v>1</v>
      </c>
      <c r="C79">
        <v>92</v>
      </c>
      <c r="D79" t="str">
        <f>HYPERLINK("http://exon.niaid.nih.gov/transcriptome/C_felis/S2/links/cds/Cf-587-cds.txt","Cf-587")</f>
        <v>Cf-587</v>
      </c>
      <c r="E79">
        <v>279</v>
      </c>
      <c r="F79" t="s">
        <v>510</v>
      </c>
      <c r="G79">
        <v>0</v>
      </c>
      <c r="I79" s="2" t="s">
        <v>6</v>
      </c>
      <c r="J79" s="2" t="s">
        <v>3</v>
      </c>
      <c r="K79" s="20" t="str">
        <f>HYPERLINK("http://exon.niaid.nih.gov/transcriptome/C_felis/S2/links/Sigp/Cf-587-SigP.txt","CYT")</f>
        <v>CYT</v>
      </c>
      <c r="L79" s="2" t="s">
        <v>7</v>
      </c>
      <c r="M79" s="2">
        <v>10.096</v>
      </c>
      <c r="N79" s="2">
        <v>11.81</v>
      </c>
      <c r="O79" s="2" t="s">
        <v>7</v>
      </c>
      <c r="P79" s="2" t="s">
        <v>7</v>
      </c>
      <c r="Q79" s="24" t="s">
        <v>559</v>
      </c>
      <c r="R79" s="20">
        <v>0</v>
      </c>
      <c r="S79" s="2" t="s">
        <v>7</v>
      </c>
      <c r="T79" s="2" t="s">
        <v>7</v>
      </c>
      <c r="U79" s="2" t="s">
        <v>7</v>
      </c>
      <c r="V79" s="2" t="s">
        <v>7</v>
      </c>
      <c r="W79" s="2" t="s">
        <v>7</v>
      </c>
      <c r="X79" s="20" t="str">
        <f>HYPERLINK("http://exon.niaid.nih.gov/transcriptome/C_felis/S2/links/netoglyc/CF-587-netoglyc.txt","1")</f>
        <v>1</v>
      </c>
      <c r="Y79" s="2">
        <v>6.5</v>
      </c>
      <c r="Z79" s="2">
        <v>5.4</v>
      </c>
      <c r="AA79" s="2">
        <v>6.5</v>
      </c>
      <c r="AB79" t="s">
        <v>437</v>
      </c>
      <c r="AC79" t="s">
        <v>438</v>
      </c>
      <c r="AD79" t="s">
        <v>510</v>
      </c>
      <c r="AE79" s="2">
        <v>1</v>
      </c>
      <c r="AF79" s="4" t="str">
        <f>HYPERLINK("http://exon.niaid.nih.gov/transcriptome/C_felis/S2/links/NR/Cf-587-NR.txt","ribosomal protein L24")</f>
        <v>ribosomal protein L24</v>
      </c>
      <c r="AG79" t="str">
        <f>HYPERLINK("http://www.ncbi.nlm.nih.gov/sutils/blink.cgi?pid=342356329","4E-036")</f>
        <v>4E-036</v>
      </c>
      <c r="AH79" t="str">
        <f>HYPERLINK("http://www.ncbi.nlm.nih.gov/protein/342356329","gi|342356329")</f>
        <v>gi|342356329</v>
      </c>
      <c r="AI79">
        <v>154</v>
      </c>
      <c r="AJ79">
        <v>86</v>
      </c>
      <c r="AK79">
        <v>155</v>
      </c>
      <c r="AL79">
        <v>93</v>
      </c>
      <c r="AM79">
        <v>56</v>
      </c>
      <c r="AN79" t="s">
        <v>83</v>
      </c>
      <c r="AO79" s="4" t="str">
        <f>HYPERLINK("http://exon.niaid.nih.gov/transcriptome/C_felis/S2/links/SWISSP/Cf-587-SWISSP.txt","60S ribosomal protein L24")</f>
        <v>60S ribosomal protein L24</v>
      </c>
      <c r="AP79" t="str">
        <f>HYPERLINK("http://www.uniprot.org/uniprot/Q962T5","5E-036")</f>
        <v>5E-036</v>
      </c>
      <c r="AQ79" t="s">
        <v>373</v>
      </c>
      <c r="AR79">
        <v>149</v>
      </c>
      <c r="AS79">
        <v>86</v>
      </c>
      <c r="AT79">
        <v>155</v>
      </c>
      <c r="AU79">
        <v>89</v>
      </c>
      <c r="AV79">
        <v>56</v>
      </c>
      <c r="AW79" t="s">
        <v>68</v>
      </c>
      <c r="AX79" s="4" t="s">
        <v>374</v>
      </c>
      <c r="AY79">
        <f>HYPERLINK("http://exon.niaid.nih.gov/transcriptome/C_felis/S2/links/GO/Cf-587-GO.txt",1E-32)</f>
        <v>1.0000000000000001E-32</v>
      </c>
      <c r="AZ79" t="str">
        <f t="shared" si="30"/>
        <v>GO:0003735</v>
      </c>
      <c r="BA79" t="s">
        <v>53</v>
      </c>
      <c r="BB79" t="s">
        <v>54</v>
      </c>
      <c r="BC79" t="s">
        <v>55</v>
      </c>
      <c r="BD79" t="s">
        <v>7</v>
      </c>
      <c r="BF79" s="5">
        <v>1.0000000000000001E-32</v>
      </c>
      <c r="BG79" t="str">
        <f>HYPERLINK("http://amigo.geneontology.org/cgi-bin/amigo/term_details?term=GO:0022625","GO:0022625")</f>
        <v>GO:0022625</v>
      </c>
      <c r="BH79" t="s">
        <v>56</v>
      </c>
      <c r="BI79" t="s">
        <v>57</v>
      </c>
      <c r="BJ79" t="s">
        <v>58</v>
      </c>
      <c r="BK79" t="s">
        <v>7</v>
      </c>
      <c r="BM79" s="5">
        <v>1.0000000000000001E-32</v>
      </c>
      <c r="BN79" t="str">
        <f t="shared" si="31"/>
        <v>GO:0006412</v>
      </c>
      <c r="BO79" t="s">
        <v>59</v>
      </c>
      <c r="BP79" t="s">
        <v>60</v>
      </c>
      <c r="BQ79" t="s">
        <v>61</v>
      </c>
      <c r="BR79" t="s">
        <v>7</v>
      </c>
      <c r="BT79" s="5">
        <v>1.0000000000000001E-32</v>
      </c>
      <c r="BU79" s="4" t="str">
        <f>HYPERLINK("http://exon.niaid.nih.gov/transcriptome/C_felis/S2/links/KOG/Cf-587-KOG.txt","60s ribosomal protein L24")</f>
        <v>60s ribosomal protein L24</v>
      </c>
      <c r="BV79" t="str">
        <f>HYPERLINK("http://www.ncbi.nlm.nih.gov/COG/grace/shokog.cgi?KOG1722","1E-008")</f>
        <v>1E-008</v>
      </c>
      <c r="BW79" t="s">
        <v>62</v>
      </c>
      <c r="BX79" t="str">
        <f>HYPERLINK("http://exon.niaid.nih.gov/transcriptome/C_felis/S2/links/KOG/Cf-587-KOG.txt","KOG1722")</f>
        <v>KOG1722</v>
      </c>
      <c r="BY79" s="4" t="str">
        <f>HYPERLINK("http://exon.niaid.nih.gov/transcriptome/C_felis/S2/links/CDD/Cf-587-CDD.txt","PRK10547")</f>
        <v>PRK10547</v>
      </c>
      <c r="BZ79" t="str">
        <f>HYPERLINK("http://www.ncbi.nlm.nih.gov/Structure/cdd/cddsrv.cgi?uid=PRK10547&amp;version=v4.0","0.033")</f>
        <v>0.033</v>
      </c>
      <c r="CA79" t="s">
        <v>375</v>
      </c>
      <c r="CB79" s="4" t="str">
        <f>HYPERLINK("http://exon.niaid.nih.gov/transcriptome/C_felis/S2/links/PFAM/Cf-587-PFAM.txt","SRP-alpha_N")</f>
        <v>SRP-alpha_N</v>
      </c>
      <c r="CC79" t="str">
        <f>HYPERLINK("http://pfam.sanger.ac.uk/family?acc=PF04086","0.49")</f>
        <v>0.49</v>
      </c>
      <c r="CD79" s="4" t="str">
        <f>HYPERLINK("http://exon.niaid.nih.gov/transcriptome/C_felis/S2/links/SMART/Cf-587-SMART.txt","SHR3_chaperone")</f>
        <v>SHR3_chaperone</v>
      </c>
      <c r="CE79" t="str">
        <f>HYPERLINK("http://smart.embl-heidelberg.de/smart/do_annotation.pl?DOMAIN=SHR3_chaperone&amp;BLAST=DUMMY","0.13")</f>
        <v>0.13</v>
      </c>
      <c r="CF79" s="4" t="s">
        <v>7</v>
      </c>
      <c r="CG79" t="s">
        <v>7</v>
      </c>
      <c r="CH79" t="s">
        <v>7</v>
      </c>
      <c r="CI79" t="s">
        <v>7</v>
      </c>
      <c r="CJ79" t="s">
        <v>7</v>
      </c>
      <c r="CK79" s="7">
        <v>131</v>
      </c>
      <c r="CL79" s="2">
        <v>1</v>
      </c>
      <c r="CM79" s="7">
        <v>131</v>
      </c>
      <c r="CN79" s="2">
        <v>1</v>
      </c>
      <c r="CO79" s="7">
        <v>131</v>
      </c>
      <c r="CP79" s="2">
        <v>1</v>
      </c>
      <c r="CQ79" s="7">
        <f>HYPERLINK("http://exon.niaid.nih.gov/transcriptome/C_felis/S2/links/cluster/cf-pep25-50-Sim-CLU2.txt", 2)</f>
        <v>2</v>
      </c>
      <c r="CR79" s="2">
        <f>HYPERLINK("http://exon.niaid.nih.gov/transcriptome/C_felis/S2/links/cluster/cf-pep25-50-Sim-CLTL2.txt", 34)</f>
        <v>34</v>
      </c>
      <c r="CS79" s="7">
        <v>106</v>
      </c>
      <c r="CT79" s="2">
        <v>1</v>
      </c>
      <c r="CU79" s="7">
        <v>117</v>
      </c>
      <c r="CV79" s="2">
        <v>1</v>
      </c>
      <c r="CW79" s="7">
        <v>122</v>
      </c>
      <c r="CX79" s="2">
        <v>1</v>
      </c>
      <c r="CY79" s="7">
        <v>127</v>
      </c>
      <c r="CZ79" s="2">
        <v>1</v>
      </c>
      <c r="DA79" s="7">
        <v>132</v>
      </c>
      <c r="DB79" s="2">
        <v>1</v>
      </c>
      <c r="DC79" s="7">
        <v>134</v>
      </c>
      <c r="DD79" s="2">
        <v>1</v>
      </c>
      <c r="DE79" s="7">
        <v>137</v>
      </c>
      <c r="DF79" s="2">
        <v>1</v>
      </c>
      <c r="DG79" s="7">
        <v>140</v>
      </c>
      <c r="DH79" s="2">
        <v>1</v>
      </c>
      <c r="DI79" s="7">
        <v>141</v>
      </c>
      <c r="DJ79" s="2">
        <v>1</v>
      </c>
      <c r="DK79" s="7">
        <v>143</v>
      </c>
      <c r="DL79" s="2">
        <v>1</v>
      </c>
      <c r="DM79" s="7">
        <v>145</v>
      </c>
      <c r="DN79" s="2">
        <v>1</v>
      </c>
      <c r="DO79" s="7">
        <v>148</v>
      </c>
      <c r="DP79" s="2">
        <v>1</v>
      </c>
      <c r="DQ79" s="7">
        <v>150</v>
      </c>
      <c r="DR79" s="2">
        <v>1</v>
      </c>
      <c r="DS79" s="7">
        <v>152</v>
      </c>
      <c r="DT79" s="2">
        <v>1</v>
      </c>
    </row>
    <row r="80" spans="1:124" x14ac:dyDescent="0.2">
      <c r="A80" t="str">
        <f>HYPERLINK("http://exon.niaid.nih.gov/transcriptome/C_felis/S2/links/pep/Cf-125-pep.txt","Cf-125")</f>
        <v>Cf-125</v>
      </c>
      <c r="B80" s="2">
        <v>6</v>
      </c>
      <c r="C80">
        <v>77</v>
      </c>
      <c r="D80" t="str">
        <f>HYPERLINK("http://exon.niaid.nih.gov/transcriptome/C_felis/S2/links/cds/Cf-125-cds.txt","Cf-125")</f>
        <v>Cf-125</v>
      </c>
      <c r="E80">
        <v>234</v>
      </c>
      <c r="F80" t="s">
        <v>464</v>
      </c>
      <c r="G80">
        <v>0</v>
      </c>
      <c r="I80" s="2" t="s">
        <v>5</v>
      </c>
      <c r="J80" s="2" t="s">
        <v>3</v>
      </c>
      <c r="K80" s="20" t="str">
        <f>HYPERLINK("http://exon.niaid.nih.gov/transcriptome/C_felis/S2/links/Sigp/Cf-125-SigP.txt","CYT")</f>
        <v>CYT</v>
      </c>
      <c r="L80" s="2" t="s">
        <v>7</v>
      </c>
      <c r="M80" s="2">
        <v>8.84</v>
      </c>
      <c r="N80" s="2">
        <v>10.53</v>
      </c>
      <c r="O80" s="2" t="s">
        <v>7</v>
      </c>
      <c r="P80" s="2" t="s">
        <v>7</v>
      </c>
      <c r="Q80" s="24" t="s">
        <v>559</v>
      </c>
      <c r="R80" s="20">
        <v>0</v>
      </c>
      <c r="S80" s="2" t="s">
        <v>7</v>
      </c>
      <c r="T80" s="2" t="s">
        <v>7</v>
      </c>
      <c r="U80" s="2" t="s">
        <v>7</v>
      </c>
      <c r="V80" s="2" t="s">
        <v>7</v>
      </c>
      <c r="W80" s="2" t="s">
        <v>7</v>
      </c>
      <c r="X80" s="20" t="str">
        <f>HYPERLINK("http://exon.niaid.nih.gov/transcriptome/C_felis/S2/links/netoglyc/CF-125-netoglyc.txt","0")</f>
        <v>0</v>
      </c>
      <c r="Y80" s="2">
        <v>5.2</v>
      </c>
      <c r="Z80" s="2">
        <v>6.5</v>
      </c>
      <c r="AA80" s="2">
        <v>2.6</v>
      </c>
      <c r="AB80" t="s">
        <v>437</v>
      </c>
      <c r="AC80" t="s">
        <v>438</v>
      </c>
      <c r="AD80" t="s">
        <v>464</v>
      </c>
      <c r="AE80" s="2">
        <v>6</v>
      </c>
      <c r="AF80" s="4" t="str">
        <f>HYPERLINK("http://exon.niaid.nih.gov/transcriptome/C_felis/S2/links/NR/Cf-125-NR.txt","60S ribosomal protein L34")</f>
        <v>60S ribosomal protein L34</v>
      </c>
      <c r="AG80" t="str">
        <f>HYPERLINK("http://www.ncbi.nlm.nih.gov/sutils/blink.cgi?pid=307195690","3E-032")</f>
        <v>3E-032</v>
      </c>
      <c r="AH80" t="str">
        <f>HYPERLINK("http://www.ncbi.nlm.nih.gov/protein/307195690","gi|307195690")</f>
        <v>gi|307195690</v>
      </c>
      <c r="AI80">
        <v>141</v>
      </c>
      <c r="AJ80">
        <v>75</v>
      </c>
      <c r="AK80">
        <v>119</v>
      </c>
      <c r="AL80">
        <v>89</v>
      </c>
      <c r="AM80">
        <v>64</v>
      </c>
      <c r="AN80" t="s">
        <v>145</v>
      </c>
      <c r="AO80" s="4" t="str">
        <f>HYPERLINK("http://exon.niaid.nih.gov/transcriptome/C_felis/S2/links/SWISSP/Cf-125-SWISSP.txt","60S ribosomal protein L34")</f>
        <v>60S ribosomal protein L34</v>
      </c>
      <c r="AP80" t="str">
        <f>HYPERLINK("http://www.uniprot.org/uniprot/Q9NB34","4E-024")</f>
        <v>4E-024</v>
      </c>
      <c r="AQ80" t="s">
        <v>164</v>
      </c>
      <c r="AR80">
        <v>109</v>
      </c>
      <c r="AS80">
        <v>74</v>
      </c>
      <c r="AT80">
        <v>139</v>
      </c>
      <c r="AU80">
        <v>68</v>
      </c>
      <c r="AV80">
        <v>54</v>
      </c>
      <c r="AW80" t="s">
        <v>165</v>
      </c>
      <c r="AX80" s="4" t="s">
        <v>166</v>
      </c>
      <c r="AY80">
        <f>HYPERLINK("http://exon.niaid.nih.gov/transcriptome/C_felis/S2/links/GO/Cf-125-GO.txt",2E-22)</f>
        <v>2.0000000000000001E-22</v>
      </c>
      <c r="AZ80" t="str">
        <f t="shared" si="30"/>
        <v>GO:0003735</v>
      </c>
      <c r="BA80" t="s">
        <v>53</v>
      </c>
      <c r="BB80" t="s">
        <v>54</v>
      </c>
      <c r="BC80" t="s">
        <v>55</v>
      </c>
      <c r="BD80" t="s">
        <v>7</v>
      </c>
      <c r="BF80" s="5">
        <v>2.0000000000000001E-22</v>
      </c>
      <c r="BG80" t="str">
        <f>HYPERLINK("http://amigo.geneontology.org/cgi-bin/amigo/term_details?term=GO:0022625","GO:0022625")</f>
        <v>GO:0022625</v>
      </c>
      <c r="BH80" t="s">
        <v>56</v>
      </c>
      <c r="BI80" t="s">
        <v>57</v>
      </c>
      <c r="BJ80" t="s">
        <v>58</v>
      </c>
      <c r="BK80" t="s">
        <v>7</v>
      </c>
      <c r="BM80" s="5">
        <v>2.0000000000000001E-22</v>
      </c>
      <c r="BN80" t="str">
        <f t="shared" si="31"/>
        <v>GO:0006412</v>
      </c>
      <c r="BO80" t="s">
        <v>59</v>
      </c>
      <c r="BP80" t="s">
        <v>60</v>
      </c>
      <c r="BQ80" t="s">
        <v>61</v>
      </c>
      <c r="BR80" t="s">
        <v>7</v>
      </c>
      <c r="BT80" s="5">
        <v>2.0000000000000001E-22</v>
      </c>
      <c r="BU80" s="4" t="str">
        <f>HYPERLINK("http://exon.niaid.nih.gov/transcriptome/C_felis/S2/links/KOG/Cf-125-KOG.txt","60s ribosomal protein L34")</f>
        <v>60s ribosomal protein L34</v>
      </c>
      <c r="BV80" t="str">
        <f>HYPERLINK("http://www.ncbi.nlm.nih.gov/COG/grace/shokog.cgi?KOG1790","4E-015")</f>
        <v>4E-015</v>
      </c>
      <c r="BW80" t="s">
        <v>62</v>
      </c>
      <c r="BX80" t="str">
        <f>HYPERLINK("http://exon.niaid.nih.gov/transcriptome/C_felis/S2/links/KOG/Cf-125-KOG.txt","KOG1790")</f>
        <v>KOG1790</v>
      </c>
      <c r="BY80" s="4" t="str">
        <f>HYPERLINK("http://exon.niaid.nih.gov/transcriptome/C_felis/S2/links/CDD/Cf-125-CDD.txt","PTZ00074")</f>
        <v>PTZ00074</v>
      </c>
      <c r="BZ80" t="str">
        <f>HYPERLINK("http://www.ncbi.nlm.nih.gov/Structure/cdd/cddsrv.cgi?uid=PTZ00074&amp;version=v4.0","2E-014")</f>
        <v>2E-014</v>
      </c>
      <c r="CA80" t="s">
        <v>167</v>
      </c>
      <c r="CB80" s="4" t="str">
        <f>HYPERLINK("http://exon.niaid.nih.gov/transcriptome/C_felis/S2/links/PFAM/Cf-125-PFAM.txt","Ribosomal_L34e")</f>
        <v>Ribosomal_L34e</v>
      </c>
      <c r="CC80" t="str">
        <f>HYPERLINK("http://pfam.sanger.ac.uk/family?acc=PF01199","4E-013")</f>
        <v>4E-013</v>
      </c>
      <c r="CD80" s="4" t="str">
        <f>HYPERLINK("http://exon.niaid.nih.gov/transcriptome/C_felis/S2/links/SMART/Cf-125-SMART.txt","STAT_int")</f>
        <v>STAT_int</v>
      </c>
      <c r="CE80" t="str">
        <f>HYPERLINK("http://smart.embl-heidelberg.de/smart/do_annotation.pl?DOMAIN=STAT_int&amp;BLAST=DUMMY","1.7")</f>
        <v>1.7</v>
      </c>
      <c r="CF80" s="4" t="s">
        <v>7</v>
      </c>
      <c r="CG80" t="s">
        <v>7</v>
      </c>
      <c r="CH80" t="s">
        <v>7</v>
      </c>
      <c r="CI80" t="s">
        <v>7</v>
      </c>
      <c r="CJ80" t="s">
        <v>7</v>
      </c>
      <c r="CK80" s="7">
        <v>24</v>
      </c>
      <c r="CL80" s="2">
        <v>1</v>
      </c>
      <c r="CM80" s="7">
        <v>24</v>
      </c>
      <c r="CN80" s="2">
        <v>1</v>
      </c>
      <c r="CO80" s="7">
        <v>24</v>
      </c>
      <c r="CP80" s="2">
        <v>1</v>
      </c>
      <c r="CQ80" s="7">
        <f>HYPERLINK("http://exon.niaid.nih.gov/transcriptome/C_felis/S2/links/cluster/cf-pep25-50-Sim-CLU2.txt", 2)</f>
        <v>2</v>
      </c>
      <c r="CR80" s="2">
        <f>HYPERLINK("http://exon.niaid.nih.gov/transcriptome/C_felis/S2/links/cluster/cf-pep25-50-Sim-CLTL2.txt", 34)</f>
        <v>34</v>
      </c>
      <c r="CS80" s="7">
        <f>HYPERLINK("http://exon.niaid.nih.gov/transcriptome/C_felis/S2/links/cluster/cf-pep30-50-Sim-CLU6.txt", 6)</f>
        <v>6</v>
      </c>
      <c r="CT80" s="2">
        <f>HYPERLINK("http://exon.niaid.nih.gov/transcriptome/C_felis/S2/links/cluster/cf-pep30-50-Sim-CLTL6.txt", 5)</f>
        <v>5</v>
      </c>
      <c r="CU80" s="7">
        <f>HYPERLINK("http://exon.niaid.nih.gov/transcriptome/C_felis/S2/links/cluster/cf-pep35-50-Sim-CLU7.txt", 7)</f>
        <v>7</v>
      </c>
      <c r="CV80" s="2">
        <f>HYPERLINK("http://exon.niaid.nih.gov/transcriptome/C_felis/S2/links/cluster/cf-pep35-50-Sim-CLTL7.txt", 3)</f>
        <v>3</v>
      </c>
      <c r="CW80" s="7">
        <v>25</v>
      </c>
      <c r="CX80" s="2">
        <v>1</v>
      </c>
      <c r="CY80" s="7">
        <v>26</v>
      </c>
      <c r="CZ80" s="2">
        <v>1</v>
      </c>
      <c r="DA80" s="7">
        <v>26</v>
      </c>
      <c r="DB80" s="2">
        <v>1</v>
      </c>
      <c r="DC80" s="7">
        <v>25</v>
      </c>
      <c r="DD80" s="2">
        <v>1</v>
      </c>
      <c r="DE80" s="7">
        <v>24</v>
      </c>
      <c r="DF80" s="2">
        <v>1</v>
      </c>
      <c r="DG80" s="7">
        <v>22</v>
      </c>
      <c r="DH80" s="2">
        <v>1</v>
      </c>
      <c r="DI80" s="7">
        <v>23</v>
      </c>
      <c r="DJ80" s="2">
        <v>1</v>
      </c>
      <c r="DK80" s="7">
        <v>23</v>
      </c>
      <c r="DL80" s="2">
        <v>1</v>
      </c>
      <c r="DM80" s="7">
        <v>22</v>
      </c>
      <c r="DN80" s="2">
        <v>1</v>
      </c>
      <c r="DO80" s="7">
        <v>20</v>
      </c>
      <c r="DP80" s="2">
        <v>1</v>
      </c>
      <c r="DQ80" s="7">
        <v>19</v>
      </c>
      <c r="DR80" s="2">
        <v>1</v>
      </c>
      <c r="DS80" s="7">
        <v>17</v>
      </c>
      <c r="DT80" s="2">
        <v>1</v>
      </c>
    </row>
    <row r="81" spans="1:124" x14ac:dyDescent="0.2">
      <c r="A81" t="str">
        <f>HYPERLINK("http://exon.niaid.nih.gov/transcriptome/C_felis/S2/links/pep/Cf-107-pep.txt","Cf-107")</f>
        <v>Cf-107</v>
      </c>
      <c r="B81" s="2">
        <v>6</v>
      </c>
      <c r="C81">
        <v>235</v>
      </c>
      <c r="D81" t="str">
        <f>HYPERLINK("http://exon.niaid.nih.gov/transcriptome/C_felis/S2/links/cds/Cf-107-cds.txt","Cf-107")</f>
        <v>Cf-107</v>
      </c>
      <c r="E81">
        <v>708</v>
      </c>
      <c r="F81" t="s">
        <v>458</v>
      </c>
      <c r="G81">
        <v>0</v>
      </c>
      <c r="I81" s="2" t="s">
        <v>5</v>
      </c>
      <c r="J81" s="2" t="s">
        <v>3</v>
      </c>
      <c r="K81" s="20" t="str">
        <f>HYPERLINK("http://exon.niaid.nih.gov/transcriptome/C_felis/S2/links/Sigp/Cf-107-SigP.txt","CYT")</f>
        <v>CYT</v>
      </c>
      <c r="L81" s="2" t="s">
        <v>7</v>
      </c>
      <c r="M81" s="2">
        <v>25.55</v>
      </c>
      <c r="N81" s="2">
        <v>10.52</v>
      </c>
      <c r="O81" s="2" t="s">
        <v>7</v>
      </c>
      <c r="P81" s="2" t="s">
        <v>7</v>
      </c>
      <c r="Q81" s="24" t="s">
        <v>556</v>
      </c>
      <c r="R81" s="20">
        <v>0</v>
      </c>
      <c r="S81" s="2" t="s">
        <v>7</v>
      </c>
      <c r="T81" s="2" t="s">
        <v>7</v>
      </c>
      <c r="U81" s="2" t="s">
        <v>7</v>
      </c>
      <c r="V81" s="2" t="s">
        <v>7</v>
      </c>
      <c r="W81" s="2" t="s">
        <v>7</v>
      </c>
      <c r="X81" s="20" t="str">
        <f>HYPERLINK("http://exon.niaid.nih.gov/transcriptome/C_felis/S2/links/netoglyc/CF-107-netoglyc.txt","0")</f>
        <v>0</v>
      </c>
      <c r="Y81" s="2">
        <v>8.1</v>
      </c>
      <c r="Z81" s="2">
        <v>14</v>
      </c>
      <c r="AA81" s="2">
        <v>6</v>
      </c>
      <c r="AB81" t="s">
        <v>437</v>
      </c>
      <c r="AC81" t="s">
        <v>438</v>
      </c>
      <c r="AD81" t="s">
        <v>458</v>
      </c>
      <c r="AE81" s="2">
        <v>6</v>
      </c>
      <c r="AF81" s="4" t="str">
        <f>HYPERLINK("http://exon.niaid.nih.gov/transcriptome/C_felis/S2/links/NR/Cf-107-NR.txt","60S ribosomal protein L8")</f>
        <v>60S ribosomal protein L8</v>
      </c>
      <c r="AG81" t="str">
        <f>HYPERLINK("http://www.ncbi.nlm.nih.gov/sutils/blink.cgi?pid=307200174","1E-131")</f>
        <v>1E-131</v>
      </c>
      <c r="AH81" t="str">
        <f>HYPERLINK("http://www.ncbi.nlm.nih.gov/protein/307200174","gi|307200174")</f>
        <v>gi|307200174</v>
      </c>
      <c r="AI81">
        <v>470</v>
      </c>
      <c r="AJ81">
        <v>233</v>
      </c>
      <c r="AK81">
        <v>257</v>
      </c>
      <c r="AL81">
        <v>95</v>
      </c>
      <c r="AM81">
        <v>91</v>
      </c>
      <c r="AN81" t="s">
        <v>145</v>
      </c>
      <c r="AO81" s="4" t="str">
        <f>HYPERLINK("http://exon.niaid.nih.gov/transcriptome/C_felis/S2/links/SWISSP/Cf-107-SWISSP.txt","60S ribosomal protein L8")</f>
        <v>60S ribosomal protein L8</v>
      </c>
      <c r="AP81" t="str">
        <f>HYPERLINK("http://www.uniprot.org/uniprot/Q95V39","1E-126")</f>
        <v>1E-126</v>
      </c>
      <c r="AQ81" t="s">
        <v>149</v>
      </c>
      <c r="AR81">
        <v>451</v>
      </c>
      <c r="AS81">
        <v>232</v>
      </c>
      <c r="AT81">
        <v>257</v>
      </c>
      <c r="AU81">
        <v>90</v>
      </c>
      <c r="AV81">
        <v>91</v>
      </c>
      <c r="AW81" t="s">
        <v>68</v>
      </c>
      <c r="AX81" s="4" t="s">
        <v>150</v>
      </c>
      <c r="AY81">
        <f>HYPERLINK("http://exon.niaid.nih.gov/transcriptome/C_felis/S2/links/GO/Cf-107-GO.txt",0)</f>
        <v>0</v>
      </c>
      <c r="AZ81" t="str">
        <f t="shared" si="30"/>
        <v>GO:0003735</v>
      </c>
      <c r="BA81" t="s">
        <v>53</v>
      </c>
      <c r="BB81" t="s">
        <v>54</v>
      </c>
      <c r="BC81" t="s">
        <v>55</v>
      </c>
      <c r="BD81" t="s">
        <v>7</v>
      </c>
      <c r="BF81" s="5">
        <v>9.9999999999999998E-121</v>
      </c>
      <c r="BG81" t="str">
        <f>HYPERLINK("http://amigo.geneontology.org/cgi-bin/amigo/term_details?term=GO:0022625","GO:0022625")</f>
        <v>GO:0022625</v>
      </c>
      <c r="BH81" t="s">
        <v>56</v>
      </c>
      <c r="BI81" t="s">
        <v>57</v>
      </c>
      <c r="BJ81" t="s">
        <v>58</v>
      </c>
      <c r="BK81" t="s">
        <v>7</v>
      </c>
      <c r="BM81" s="5">
        <v>9.9999999999999998E-121</v>
      </c>
      <c r="BN81" t="str">
        <f t="shared" si="31"/>
        <v>GO:0006412</v>
      </c>
      <c r="BO81" t="s">
        <v>59</v>
      </c>
      <c r="BP81" t="s">
        <v>60</v>
      </c>
      <c r="BQ81" t="s">
        <v>61</v>
      </c>
      <c r="BR81" t="s">
        <v>7</v>
      </c>
      <c r="BT81" s="5">
        <v>9.9999999999999998E-121</v>
      </c>
      <c r="BU81" s="4" t="str">
        <f>HYPERLINK("http://exon.niaid.nih.gov/transcriptome/C_felis/S2/links/KOG/Cf-107-KOG.txt","60s ribosomal protein L2/L8")</f>
        <v>60s ribosomal protein L2/L8</v>
      </c>
      <c r="BV81" t="str">
        <f>HYPERLINK("http://www.ncbi.nlm.nih.gov/COG/grace/shokog.cgi?KOG2309","1E-100")</f>
        <v>1E-100</v>
      </c>
      <c r="BW81" t="s">
        <v>62</v>
      </c>
      <c r="BX81" t="str">
        <f>HYPERLINK("http://exon.niaid.nih.gov/transcriptome/C_felis/S2/links/KOG/Cf-107-KOG.txt","KOG2309")</f>
        <v>KOG2309</v>
      </c>
      <c r="BY81" s="4" t="str">
        <f>HYPERLINK("http://exon.niaid.nih.gov/transcriptome/C_felis/S2/links/CDD/Cf-107-CDD.txt","PTZ00180")</f>
        <v>PTZ00180</v>
      </c>
      <c r="BZ81" t="str">
        <f>HYPERLINK("http://www.ncbi.nlm.nih.gov/Structure/cdd/cddsrv.cgi?uid=PTZ00180&amp;version=v4.0","1E-113")</f>
        <v>1E-113</v>
      </c>
      <c r="CA81" t="s">
        <v>151</v>
      </c>
      <c r="CB81" s="4" t="str">
        <f>HYPERLINK("http://exon.niaid.nih.gov/transcriptome/C_felis/S2/links/PFAM/Cf-107-PFAM.txt","Ribosomal_L2_C")</f>
        <v>Ribosomal_L2_C</v>
      </c>
      <c r="CC81" t="str">
        <f>HYPERLINK("http://pfam.sanger.ac.uk/family?acc=PF03947","4E-040")</f>
        <v>4E-040</v>
      </c>
      <c r="CD81" s="4" t="str">
        <f>HYPERLINK("http://exon.niaid.nih.gov/transcriptome/C_felis/S2/links/SMART/Cf-107-SMART.txt","NIDO")</f>
        <v>NIDO</v>
      </c>
      <c r="CE81" t="str">
        <f>HYPERLINK("http://smart.embl-heidelberg.de/smart/do_annotation.pl?DOMAIN=NIDO&amp;BLAST=DUMMY","1.7")</f>
        <v>1.7</v>
      </c>
      <c r="CF81" s="4" t="s">
        <v>7</v>
      </c>
      <c r="CG81" t="s">
        <v>7</v>
      </c>
      <c r="CH81" t="s">
        <v>7</v>
      </c>
      <c r="CI81" t="s">
        <v>7</v>
      </c>
      <c r="CJ81" t="s">
        <v>7</v>
      </c>
      <c r="CK81" s="7">
        <f>HYPERLINK("http://exon.niaid.nih.gov/transcriptome/C_felis/S2/links/cluster/cf-pep95-2-Id-CLU8.txt", 8)</f>
        <v>8</v>
      </c>
      <c r="CL81" s="2">
        <f>HYPERLINK("http://exon.niaid.nih.gov/transcriptome/C_felis/S2/links/cluster/cf-pep95-2-Id-CLTL8.txt", 2)</f>
        <v>2</v>
      </c>
      <c r="CM81" s="7">
        <f>HYPERLINK("http://exon.niaid.nih.gov/transcriptome/C_felis/S2/links/cluster/cf-pep100-3-Id-CLU8.txt", 8)</f>
        <v>8</v>
      </c>
      <c r="CN81" s="2">
        <f>HYPERLINK("http://exon.niaid.nih.gov/transcriptome/C_felis/S2/links/cluster/cf-pep100-3-Id-CLTL8.txt", 2)</f>
        <v>2</v>
      </c>
      <c r="CO81" s="7">
        <f>HYPERLINK("http://exon.niaid.nih.gov/transcriptome/C_felis/S2/links/cluster/cf-pep100-4-Id-CLU8.txt", 8)</f>
        <v>8</v>
      </c>
      <c r="CP81" s="2">
        <f>HYPERLINK("http://exon.niaid.nih.gov/transcriptome/C_felis/S2/links/cluster/cf-pep100-4-Id-CLTL8.txt", 2)</f>
        <v>2</v>
      </c>
      <c r="CQ81" s="7">
        <f>HYPERLINK("http://exon.niaid.nih.gov/transcriptome/C_felis/S2/links/cluster/cf-pep25-50-Sim-CLU9.txt", 9)</f>
        <v>9</v>
      </c>
      <c r="CR81" s="2">
        <f>HYPERLINK("http://exon.niaid.nih.gov/transcriptome/C_felis/S2/links/cluster/cf-pep25-50-Sim-CLTL9.txt", 2)</f>
        <v>2</v>
      </c>
      <c r="CS81" s="7">
        <f>HYPERLINK("http://exon.niaid.nih.gov/transcriptome/C_felis/S2/links/cluster/cf-pep30-50-Sim-CLU10.txt", 10)</f>
        <v>10</v>
      </c>
      <c r="CT81" s="2">
        <f>HYPERLINK("http://exon.niaid.nih.gov/transcriptome/C_felis/S2/links/cluster/cf-pep30-50-Sim-CLTL10.txt", 2)</f>
        <v>2</v>
      </c>
      <c r="CU81" s="7">
        <f>HYPERLINK("http://exon.niaid.nih.gov/transcriptome/C_felis/S2/links/cluster/cf-pep35-50-Sim-CLU10.txt", 10)</f>
        <v>10</v>
      </c>
      <c r="CV81" s="2">
        <f>HYPERLINK("http://exon.niaid.nih.gov/transcriptome/C_felis/S2/links/cluster/cf-pep35-50-Sim-CLTL10.txt", 2)</f>
        <v>2</v>
      </c>
      <c r="CW81" s="7">
        <f>HYPERLINK("http://exon.niaid.nih.gov/transcriptome/C_felis/S2/links/cluster/cf-pep40-50-Sim-CLU9.txt", 9)</f>
        <v>9</v>
      </c>
      <c r="CX81" s="2">
        <f>HYPERLINK("http://exon.niaid.nih.gov/transcriptome/C_felis/S2/links/cluster/cf-pep40-50-Sim-CLTL9.txt", 2)</f>
        <v>2</v>
      </c>
      <c r="CY81" s="7">
        <f>HYPERLINK("http://exon.niaid.nih.gov/transcriptome/C_felis/S2/links/cluster/cf-pep45-50-Sim-CLU10.txt", 10)</f>
        <v>10</v>
      </c>
      <c r="CZ81" s="2">
        <f>HYPERLINK("http://exon.niaid.nih.gov/transcriptome/C_felis/S2/links/cluster/cf-pep45-50-Sim-CLTL10.txt", 2)</f>
        <v>2</v>
      </c>
      <c r="DA81" s="7">
        <f>HYPERLINK("http://exon.niaid.nih.gov/transcriptome/C_felis/S2/links/cluster/cf-pep50-50-Sim-CLU11.txt", 11)</f>
        <v>11</v>
      </c>
      <c r="DB81" s="2">
        <f>HYPERLINK("http://exon.niaid.nih.gov/transcriptome/C_felis/S2/links/cluster/cf-pep50-50-Sim-CLTL11.txt", 2)</f>
        <v>2</v>
      </c>
      <c r="DC81" s="7">
        <f>HYPERLINK("http://exon.niaid.nih.gov/transcriptome/C_felis/S2/links/cluster/cf-pep55-50-Sim-CLU10.txt", 10)</f>
        <v>10</v>
      </c>
      <c r="DD81" s="2">
        <f>HYPERLINK("http://exon.niaid.nih.gov/transcriptome/C_felis/S2/links/cluster/cf-pep55-50-Sim-CLTL10.txt", 2)</f>
        <v>2</v>
      </c>
      <c r="DE81" s="7">
        <f>HYPERLINK("http://exon.niaid.nih.gov/transcriptome/C_felis/S2/links/cluster/cf-pep60-50-Sim-CLU8.txt", 8)</f>
        <v>8</v>
      </c>
      <c r="DF81" s="2">
        <f>HYPERLINK("http://exon.niaid.nih.gov/transcriptome/C_felis/S2/links/cluster/cf-pep60-50-Sim-CLTL8.txt", 2)</f>
        <v>2</v>
      </c>
      <c r="DG81" s="7">
        <f>HYPERLINK("http://exon.niaid.nih.gov/transcriptome/C_felis/S2/links/cluster/cf-pep65-50-Sim-CLU7.txt", 7)</f>
        <v>7</v>
      </c>
      <c r="DH81" s="2">
        <f>HYPERLINK("http://exon.niaid.nih.gov/transcriptome/C_felis/S2/links/cluster/cf-pep65-50-Sim-CLTL7.txt", 2)</f>
        <v>2</v>
      </c>
      <c r="DI81" s="7">
        <f>HYPERLINK("http://exon.niaid.nih.gov/transcriptome/C_felis/S2/links/cluster/cf-pep70-50-Sim-CLU7.txt", 7)</f>
        <v>7</v>
      </c>
      <c r="DJ81" s="2">
        <f>HYPERLINK("http://exon.niaid.nih.gov/transcriptome/C_felis/S2/links/cluster/cf-pep70-50-Sim-CLTL7.txt", 2)</f>
        <v>2</v>
      </c>
      <c r="DK81" s="7">
        <v>16</v>
      </c>
      <c r="DL81" s="2">
        <v>1</v>
      </c>
      <c r="DM81" s="7">
        <v>15</v>
      </c>
      <c r="DN81" s="2">
        <v>1</v>
      </c>
      <c r="DO81" s="7">
        <v>13</v>
      </c>
      <c r="DP81" s="2">
        <v>1</v>
      </c>
      <c r="DQ81" s="7">
        <v>12</v>
      </c>
      <c r="DR81" s="2">
        <v>1</v>
      </c>
      <c r="DS81" s="7">
        <v>10</v>
      </c>
      <c r="DT81" s="2">
        <v>1</v>
      </c>
    </row>
    <row r="82" spans="1:124" x14ac:dyDescent="0.2">
      <c r="A82" t="str">
        <f>HYPERLINK("http://exon.niaid.nih.gov/transcriptome/C_felis/S2/links/pep/Cf-105-pep.txt","Cf-105")</f>
        <v>Cf-105</v>
      </c>
      <c r="B82" s="2">
        <v>4</v>
      </c>
      <c r="C82">
        <v>196</v>
      </c>
      <c r="D82" t="str">
        <f>HYPERLINK("http://exon.niaid.nih.gov/transcriptome/C_felis/S2/links/cds/Cf-105-cds.txt","Cf-105")</f>
        <v>Cf-105</v>
      </c>
      <c r="E82">
        <v>591</v>
      </c>
      <c r="F82" t="s">
        <v>457</v>
      </c>
      <c r="G82">
        <v>0</v>
      </c>
      <c r="I82" s="2" t="s">
        <v>5</v>
      </c>
      <c r="J82" s="2" t="s">
        <v>3</v>
      </c>
      <c r="K82" s="20" t="str">
        <f>HYPERLINK("http://exon.niaid.nih.gov/transcriptome/C_felis/S2/links/Sigp/Cf-105-SigP.txt","CYT")</f>
        <v>CYT</v>
      </c>
      <c r="L82" s="2" t="s">
        <v>7</v>
      </c>
      <c r="M82" s="2">
        <v>22.311</v>
      </c>
      <c r="N82" s="2">
        <v>10.72</v>
      </c>
      <c r="O82" s="2" t="s">
        <v>7</v>
      </c>
      <c r="P82" s="2" t="s">
        <v>7</v>
      </c>
      <c r="Q82" s="24" t="s">
        <v>559</v>
      </c>
      <c r="R82" s="20">
        <v>0</v>
      </c>
      <c r="S82" s="2" t="s">
        <v>7</v>
      </c>
      <c r="T82" s="2" t="s">
        <v>7</v>
      </c>
      <c r="U82" s="2" t="s">
        <v>7</v>
      </c>
      <c r="V82" s="2" t="s">
        <v>7</v>
      </c>
      <c r="W82" s="2" t="s">
        <v>7</v>
      </c>
      <c r="X82" s="20" t="str">
        <f>HYPERLINK("http://exon.niaid.nih.gov/transcriptome/C_felis/S2/links/netoglyc/CF-105-netoglyc.txt","0")</f>
        <v>0</v>
      </c>
      <c r="Y82" s="2">
        <v>9.6999999999999993</v>
      </c>
      <c r="Z82" s="2">
        <v>8.1999999999999993</v>
      </c>
      <c r="AA82" s="2">
        <v>3.6</v>
      </c>
      <c r="AB82" t="s">
        <v>437</v>
      </c>
      <c r="AC82" t="s">
        <v>438</v>
      </c>
      <c r="AD82" t="s">
        <v>457</v>
      </c>
      <c r="AE82" s="2">
        <v>4</v>
      </c>
      <c r="AF82" s="4" t="str">
        <f>HYPERLINK("http://exon.niaid.nih.gov/transcriptome/C_felis/S2/links/NR/Cf-105-NR.txt","40S ribosomal protein S8")</f>
        <v>40S ribosomal protein S8</v>
      </c>
      <c r="AG82" t="str">
        <f>HYPERLINK("http://www.ncbi.nlm.nih.gov/sutils/blink.cgi?pid=307203914","7E-094")</f>
        <v>7E-094</v>
      </c>
      <c r="AH82" t="str">
        <f>HYPERLINK("http://www.ncbi.nlm.nih.gov/protein/307203914","gi|307203914")</f>
        <v>gi|307203914</v>
      </c>
      <c r="AI82">
        <v>347</v>
      </c>
      <c r="AJ82">
        <v>193</v>
      </c>
      <c r="AK82">
        <v>202</v>
      </c>
      <c r="AL82">
        <v>88</v>
      </c>
      <c r="AM82">
        <v>96</v>
      </c>
      <c r="AN82" t="s">
        <v>145</v>
      </c>
      <c r="AO82" s="4" t="str">
        <f>HYPERLINK("http://exon.niaid.nih.gov/transcriptome/C_felis/S2/links/SWISSP/Cf-105-SWISSP.txt","40S ribosomal protein S8")</f>
        <v>40S ribosomal protein S8</v>
      </c>
      <c r="AP82" t="str">
        <f>HYPERLINK("http://www.uniprot.org/uniprot/Q8WQI5","6E-095")</f>
        <v>6E-095</v>
      </c>
      <c r="AQ82" t="s">
        <v>142</v>
      </c>
      <c r="AR82">
        <v>346</v>
      </c>
      <c r="AS82">
        <v>193</v>
      </c>
      <c r="AT82">
        <v>208</v>
      </c>
      <c r="AU82">
        <v>86</v>
      </c>
      <c r="AV82">
        <v>93</v>
      </c>
      <c r="AW82" t="s">
        <v>68</v>
      </c>
      <c r="AX82" s="4" t="s">
        <v>143</v>
      </c>
      <c r="AY82">
        <f>HYPERLINK("http://exon.niaid.nih.gov/transcriptome/C_felis/S2/links/GO/Cf-105-GO.txt",7E-89)</f>
        <v>6.9999999999999994E-89</v>
      </c>
      <c r="AZ82" t="str">
        <f t="shared" si="30"/>
        <v>GO:0003735</v>
      </c>
      <c r="BA82" t="s">
        <v>53</v>
      </c>
      <c r="BB82" t="s">
        <v>54</v>
      </c>
      <c r="BC82" t="s">
        <v>55</v>
      </c>
      <c r="BD82" t="s">
        <v>7</v>
      </c>
      <c r="BF82" s="5">
        <v>6.9999999999999994E-89</v>
      </c>
      <c r="BG82" t="str">
        <f>HYPERLINK("http://amigo.geneontology.org/cgi-bin/amigo/term_details?term=GO:0005840","GO:0005840")</f>
        <v>GO:0005840</v>
      </c>
      <c r="BH82" t="s">
        <v>94</v>
      </c>
      <c r="BI82" t="s">
        <v>95</v>
      </c>
      <c r="BJ82" t="s">
        <v>96</v>
      </c>
      <c r="BK82" t="s">
        <v>7</v>
      </c>
      <c r="BM82" s="5">
        <v>6.9999999999999994E-89</v>
      </c>
      <c r="BN82" t="str">
        <f t="shared" si="31"/>
        <v>GO:0006412</v>
      </c>
      <c r="BO82" t="s">
        <v>59</v>
      </c>
      <c r="BP82" t="s">
        <v>60</v>
      </c>
      <c r="BQ82" t="s">
        <v>61</v>
      </c>
      <c r="BR82" t="s">
        <v>7</v>
      </c>
      <c r="BT82" s="5">
        <v>6.9999999999999994E-89</v>
      </c>
      <c r="BU82" s="4" t="str">
        <f>HYPERLINK("http://exon.niaid.nih.gov/transcriptome/C_felis/S2/links/KOG/Cf-105-KOG.txt","40S ribosomal protein S8")</f>
        <v>40S ribosomal protein S8</v>
      </c>
      <c r="BV82" t="str">
        <f>HYPERLINK("http://www.ncbi.nlm.nih.gov/COG/grace/shokog.cgi?KOG3283","1E-070")</f>
        <v>1E-070</v>
      </c>
      <c r="BW82" t="s">
        <v>62</v>
      </c>
      <c r="BX82" t="str">
        <f>HYPERLINK("http://exon.niaid.nih.gov/transcriptome/C_felis/S2/links/KOG/Cf-105-KOG.txt","KOG3283")</f>
        <v>KOG3283</v>
      </c>
      <c r="BY82" s="4" t="str">
        <f>HYPERLINK("http://exon.niaid.nih.gov/transcriptome/C_felis/S2/links/CDD/Cf-105-CDD.txt","PTZ00148")</f>
        <v>PTZ00148</v>
      </c>
      <c r="BZ82" t="str">
        <f>HYPERLINK("http://www.ncbi.nlm.nih.gov/Structure/cdd/cddsrv.cgi?uid=PTZ00148&amp;version=v4.0","4E-079")</f>
        <v>4E-079</v>
      </c>
      <c r="CA82" t="s">
        <v>146</v>
      </c>
      <c r="CB82" s="4" t="str">
        <f>HYPERLINK("http://exon.niaid.nih.gov/transcriptome/C_felis/S2/links/PFAM/Cf-105-PFAM.txt","Ribosomal_S8e")</f>
        <v>Ribosomal_S8e</v>
      </c>
      <c r="CC82" t="str">
        <f>HYPERLINK("http://pfam.sanger.ac.uk/family?acc=PF01201","2E-037")</f>
        <v>2E-037</v>
      </c>
      <c r="CD82" s="4" t="str">
        <f>HYPERLINK("http://exon.niaid.nih.gov/transcriptome/C_felis/S2/links/SMART/Cf-105-SMART.txt","ArfGap")</f>
        <v>ArfGap</v>
      </c>
      <c r="CE82" t="str">
        <f>HYPERLINK("http://smart.embl-heidelberg.de/smart/do_annotation.pl?DOMAIN=ArfGap&amp;BLAST=DUMMY","0.35")</f>
        <v>0.35</v>
      </c>
      <c r="CF82" s="4" t="s">
        <v>7</v>
      </c>
      <c r="CG82" t="s">
        <v>7</v>
      </c>
      <c r="CH82" t="s">
        <v>7</v>
      </c>
      <c r="CI82" t="s">
        <v>7</v>
      </c>
      <c r="CJ82" t="s">
        <v>7</v>
      </c>
      <c r="CK82" s="7">
        <f>HYPERLINK("http://exon.niaid.nih.gov/transcriptome/C_felis/S2/links/cluster/cf-pep95-2-Id-CLU6.txt", 6)</f>
        <v>6</v>
      </c>
      <c r="CL82" s="2">
        <f>HYPERLINK("http://exon.niaid.nih.gov/transcriptome/C_felis/S2/links/cluster/cf-pep95-2-Id-CLTL6.txt", 3)</f>
        <v>3</v>
      </c>
      <c r="CM82" s="7">
        <f>HYPERLINK("http://exon.niaid.nih.gov/transcriptome/C_felis/S2/links/cluster/cf-pep100-3-Id-CLU6.txt", 6)</f>
        <v>6</v>
      </c>
      <c r="CN82" s="2">
        <f>HYPERLINK("http://exon.niaid.nih.gov/transcriptome/C_felis/S2/links/cluster/cf-pep100-3-Id-CLTL6.txt", 3)</f>
        <v>3</v>
      </c>
      <c r="CO82" s="7">
        <f>HYPERLINK("http://exon.niaid.nih.gov/transcriptome/C_felis/S2/links/cluster/cf-pep100-4-Id-CLU6.txt", 6)</f>
        <v>6</v>
      </c>
      <c r="CP82" s="2">
        <f>HYPERLINK("http://exon.niaid.nih.gov/transcriptome/C_felis/S2/links/cluster/cf-pep100-4-Id-CLTL6.txt", 3)</f>
        <v>3</v>
      </c>
      <c r="CQ82" s="7">
        <f>HYPERLINK("http://exon.niaid.nih.gov/transcriptome/C_felis/S2/links/cluster/cf-pep25-50-Sim-CLU6.txt", 6)</f>
        <v>6</v>
      </c>
      <c r="CR82" s="2">
        <f>HYPERLINK("http://exon.niaid.nih.gov/transcriptome/C_felis/S2/links/cluster/cf-pep25-50-Sim-CLTL6.txt", 3)</f>
        <v>3</v>
      </c>
      <c r="CS82" s="7">
        <f>HYPERLINK("http://exon.niaid.nih.gov/transcriptome/C_felis/S2/links/cluster/cf-pep30-50-Sim-CLU7.txt", 7)</f>
        <v>7</v>
      </c>
      <c r="CT82" s="2">
        <f>HYPERLINK("http://exon.niaid.nih.gov/transcriptome/C_felis/S2/links/cluster/cf-pep30-50-Sim-CLTL7.txt", 3)</f>
        <v>3</v>
      </c>
      <c r="CU82" s="7">
        <f>HYPERLINK("http://exon.niaid.nih.gov/transcriptome/C_felis/S2/links/cluster/cf-pep35-50-Sim-CLU6.txt", 6)</f>
        <v>6</v>
      </c>
      <c r="CV82" s="2">
        <f>HYPERLINK("http://exon.niaid.nih.gov/transcriptome/C_felis/S2/links/cluster/cf-pep35-50-Sim-CLTL6.txt", 3)</f>
        <v>3</v>
      </c>
      <c r="CW82" s="7">
        <f>HYPERLINK("http://exon.niaid.nih.gov/transcriptome/C_felis/S2/links/cluster/cf-pep40-50-Sim-CLU6.txt", 6)</f>
        <v>6</v>
      </c>
      <c r="CX82" s="2">
        <f>HYPERLINK("http://exon.niaid.nih.gov/transcriptome/C_felis/S2/links/cluster/cf-pep40-50-Sim-CLTL6.txt", 3)</f>
        <v>3</v>
      </c>
      <c r="CY82" s="7">
        <f>HYPERLINK("http://exon.niaid.nih.gov/transcriptome/C_felis/S2/links/cluster/cf-pep45-50-Sim-CLU6.txt", 6)</f>
        <v>6</v>
      </c>
      <c r="CZ82" s="2">
        <f>HYPERLINK("http://exon.niaid.nih.gov/transcriptome/C_felis/S2/links/cluster/cf-pep45-50-Sim-CLTL6.txt", 3)</f>
        <v>3</v>
      </c>
      <c r="DA82" s="7">
        <f>HYPERLINK("http://exon.niaid.nih.gov/transcriptome/C_felis/S2/links/cluster/cf-pep50-50-Sim-CLU6.txt", 6)</f>
        <v>6</v>
      </c>
      <c r="DB82" s="2">
        <f>HYPERLINK("http://exon.niaid.nih.gov/transcriptome/C_felis/S2/links/cluster/cf-pep50-50-Sim-CLTL6.txt", 3)</f>
        <v>3</v>
      </c>
      <c r="DC82" s="7">
        <f>HYPERLINK("http://exon.niaid.nih.gov/transcriptome/C_felis/S2/links/cluster/cf-pep55-50-Sim-CLU6.txt", 6)</f>
        <v>6</v>
      </c>
      <c r="DD82" s="2">
        <f>HYPERLINK("http://exon.niaid.nih.gov/transcriptome/C_felis/S2/links/cluster/cf-pep55-50-Sim-CLTL6.txt", 3)</f>
        <v>3</v>
      </c>
      <c r="DE82" s="7">
        <f>HYPERLINK("http://exon.niaid.nih.gov/transcriptome/C_felis/S2/links/cluster/cf-pep60-50-Sim-CLU4.txt", 4)</f>
        <v>4</v>
      </c>
      <c r="DF82" s="2">
        <f>HYPERLINK("http://exon.niaid.nih.gov/transcriptome/C_felis/S2/links/cluster/cf-pep60-50-Sim-CLTL4.txt", 3)</f>
        <v>3</v>
      </c>
      <c r="DG82" s="7">
        <f>HYPERLINK("http://exon.niaid.nih.gov/transcriptome/C_felis/S2/links/cluster/cf-pep65-50-Sim-CLU4.txt", 4)</f>
        <v>4</v>
      </c>
      <c r="DH82" s="2">
        <f>HYPERLINK("http://exon.niaid.nih.gov/transcriptome/C_felis/S2/links/cluster/cf-pep65-50-Sim-CLTL4.txt", 3)</f>
        <v>3</v>
      </c>
      <c r="DI82" s="7">
        <f>HYPERLINK("http://exon.niaid.nih.gov/transcriptome/C_felis/S2/links/cluster/cf-pep70-50-Sim-CLU4.txt", 4)</f>
        <v>4</v>
      </c>
      <c r="DJ82" s="2">
        <f>HYPERLINK("http://exon.niaid.nih.gov/transcriptome/C_felis/S2/links/cluster/cf-pep70-50-Sim-CLTL4.txt", 3)</f>
        <v>3</v>
      </c>
      <c r="DK82" s="7">
        <f>HYPERLINK("http://exon.niaid.nih.gov/transcriptome/C_felis/S2/links/cluster/cf-pep75-50-Sim-CLU4.txt", 4)</f>
        <v>4</v>
      </c>
      <c r="DL82" s="2">
        <f>HYPERLINK("http://exon.niaid.nih.gov/transcriptome/C_felis/S2/links/cluster/cf-pep75-50-Sim-CLTL4.txt", 3)</f>
        <v>3</v>
      </c>
      <c r="DM82" s="7">
        <f>HYPERLINK("http://exon.niaid.nih.gov/transcriptome/C_felis/S2/links/cluster/cf-pep80-50-Sim-CLU4.txt", 4)</f>
        <v>4</v>
      </c>
      <c r="DN82" s="2">
        <f>HYPERLINK("http://exon.niaid.nih.gov/transcriptome/C_felis/S2/links/cluster/cf-pep80-50-Sim-CLTL4.txt", 3)</f>
        <v>3</v>
      </c>
      <c r="DO82" s="7">
        <f>HYPERLINK("http://exon.niaid.nih.gov/transcriptome/C_felis/S2/links/cluster/cf-pep85-50-Sim-CLU2.txt", 2)</f>
        <v>2</v>
      </c>
      <c r="DP82" s="2">
        <f>HYPERLINK("http://exon.niaid.nih.gov/transcriptome/C_felis/S2/links/cluster/cf-pep85-50-Sim-CLTL2.txt", 3)</f>
        <v>3</v>
      </c>
      <c r="DQ82" s="7">
        <f>HYPERLINK("http://exon.niaid.nih.gov/transcriptome/C_felis/S2/links/cluster/cf-pep90-50-Sim-CLU2.txt", 2)</f>
        <v>2</v>
      </c>
      <c r="DR82" s="2">
        <f>HYPERLINK("http://exon.niaid.nih.gov/transcriptome/C_felis/S2/links/cluster/cf-pep90-50-Sim-CLTL2.txt", 3)</f>
        <v>3</v>
      </c>
      <c r="DS82" s="7">
        <f>HYPERLINK("http://exon.niaid.nih.gov/transcriptome/C_felis/S2/links/cluster/cf-pep95-50-Sim-CLU2.txt", 2)</f>
        <v>2</v>
      </c>
      <c r="DT82" s="2">
        <f>HYPERLINK("http://exon.niaid.nih.gov/transcriptome/C_felis/S2/links/cluster/cf-pep95-50-Sim-CLTL2.txt", 2)</f>
        <v>2</v>
      </c>
    </row>
    <row r="83" spans="1:124" x14ac:dyDescent="0.2">
      <c r="A83" t="str">
        <f>HYPERLINK("http://exon.niaid.nih.gov/transcriptome/C_felis/S2/links/pep/Cf-108-pep.txt","Cf-108")</f>
        <v>Cf-108</v>
      </c>
      <c r="B83" s="2">
        <v>1</v>
      </c>
      <c r="C83">
        <v>174</v>
      </c>
      <c r="D83" t="str">
        <f>HYPERLINK("http://exon.niaid.nih.gov/transcriptome/C_felis/S2/links/cds/Cf-108-cds.txt","Cf-108")</f>
        <v>Cf-108</v>
      </c>
      <c r="E83">
        <v>525</v>
      </c>
      <c r="F83" t="s">
        <v>459</v>
      </c>
      <c r="G83">
        <v>0</v>
      </c>
      <c r="I83" s="2" t="s">
        <v>4</v>
      </c>
      <c r="J83" s="2" t="s">
        <v>3</v>
      </c>
      <c r="K83" s="20" t="str">
        <f>HYPERLINK("http://exon.niaid.nih.gov/transcriptome/C_felis/S2/links/Sigp/Cf-108-SigP.txt","CYT")</f>
        <v>CYT</v>
      </c>
      <c r="L83" s="2" t="s">
        <v>7</v>
      </c>
      <c r="M83" s="2">
        <v>18.600999999999999</v>
      </c>
      <c r="N83" s="2">
        <v>10.74</v>
      </c>
      <c r="O83" s="2" t="s">
        <v>7</v>
      </c>
      <c r="P83" s="2" t="s">
        <v>7</v>
      </c>
      <c r="Q83" s="24" t="s">
        <v>575</v>
      </c>
      <c r="R83" s="20">
        <v>0</v>
      </c>
      <c r="S83" s="2" t="s">
        <v>7</v>
      </c>
      <c r="T83" s="2" t="s">
        <v>7</v>
      </c>
      <c r="U83" s="2" t="s">
        <v>7</v>
      </c>
      <c r="V83" s="2" t="s">
        <v>7</v>
      </c>
      <c r="W83" s="2" t="s">
        <v>7</v>
      </c>
      <c r="X83" s="20" t="str">
        <f>HYPERLINK("http://exon.niaid.nih.gov/transcriptome/C_felis/S2/links/netoglyc/CF-108-netoglyc.txt","0")</f>
        <v>0</v>
      </c>
      <c r="Y83" s="2">
        <v>9.1999999999999993</v>
      </c>
      <c r="Z83" s="2">
        <v>14.4</v>
      </c>
      <c r="AA83" s="2">
        <v>5.2</v>
      </c>
      <c r="AB83" t="s">
        <v>437</v>
      </c>
      <c r="AC83" t="s">
        <v>438</v>
      </c>
      <c r="AD83" t="s">
        <v>459</v>
      </c>
      <c r="AE83" s="2">
        <v>1</v>
      </c>
      <c r="AF83" s="4" t="str">
        <f>HYPERLINK("http://exon.niaid.nih.gov/transcriptome/C_felis/S2/links/NR/Cf-108-NR.txt","60S ribosomal protein L8")</f>
        <v>60S ribosomal protein L8</v>
      </c>
      <c r="AG83" t="str">
        <f>HYPERLINK("http://www.ncbi.nlm.nih.gov/sutils/blink.cgi?pid=307200174","8E-095")</f>
        <v>8E-095</v>
      </c>
      <c r="AH83" t="str">
        <f>HYPERLINK("http://www.ncbi.nlm.nih.gov/protein/307200174","gi|307200174")</f>
        <v>gi|307200174</v>
      </c>
      <c r="AI83">
        <v>349</v>
      </c>
      <c r="AJ83">
        <v>172</v>
      </c>
      <c r="AK83">
        <v>257</v>
      </c>
      <c r="AL83">
        <v>96</v>
      </c>
      <c r="AM83">
        <v>67</v>
      </c>
      <c r="AN83" t="s">
        <v>145</v>
      </c>
      <c r="AO83" s="4" t="str">
        <f>HYPERLINK("http://exon.niaid.nih.gov/transcriptome/C_felis/S2/links/SWISSP/Cf-108-SWISSP.txt","60S ribosomal protein L8")</f>
        <v>60S ribosomal protein L8</v>
      </c>
      <c r="AP83" t="str">
        <f>HYPERLINK("http://www.uniprot.org/uniprot/Q95V39","1E-090")</f>
        <v>1E-090</v>
      </c>
      <c r="AQ83" t="s">
        <v>149</v>
      </c>
      <c r="AR83">
        <v>331</v>
      </c>
      <c r="AS83">
        <v>171</v>
      </c>
      <c r="AT83">
        <v>257</v>
      </c>
      <c r="AU83">
        <v>90</v>
      </c>
      <c r="AV83">
        <v>67</v>
      </c>
      <c r="AW83" t="s">
        <v>68</v>
      </c>
      <c r="AX83" s="4" t="s">
        <v>150</v>
      </c>
      <c r="AY83">
        <f>HYPERLINK("http://exon.niaid.nih.gov/transcriptome/C_felis/S2/links/GO/Cf-108-GO.txt",1E-88)</f>
        <v>9.9999999999999993E-89</v>
      </c>
      <c r="AZ83" t="str">
        <f t="shared" si="30"/>
        <v>GO:0003735</v>
      </c>
      <c r="BA83" t="s">
        <v>53</v>
      </c>
      <c r="BB83" t="s">
        <v>54</v>
      </c>
      <c r="BC83" t="s">
        <v>55</v>
      </c>
      <c r="BD83" t="s">
        <v>7</v>
      </c>
      <c r="BF83" s="5">
        <v>9.9999999999999993E-89</v>
      </c>
      <c r="BG83" t="str">
        <f>HYPERLINK("http://amigo.geneontology.org/cgi-bin/amigo/term_details?term=GO:0022625","GO:0022625")</f>
        <v>GO:0022625</v>
      </c>
      <c r="BH83" t="s">
        <v>56</v>
      </c>
      <c r="BI83" t="s">
        <v>57</v>
      </c>
      <c r="BJ83" t="s">
        <v>58</v>
      </c>
      <c r="BK83" t="s">
        <v>7</v>
      </c>
      <c r="BM83" s="5">
        <v>9.9999999999999993E-89</v>
      </c>
      <c r="BN83" t="str">
        <f t="shared" si="31"/>
        <v>GO:0006412</v>
      </c>
      <c r="BO83" t="s">
        <v>59</v>
      </c>
      <c r="BP83" t="s">
        <v>60</v>
      </c>
      <c r="BQ83" t="s">
        <v>61</v>
      </c>
      <c r="BR83" t="s">
        <v>7</v>
      </c>
      <c r="BT83" s="5">
        <v>9.9999999999999993E-89</v>
      </c>
      <c r="BU83" s="4" t="str">
        <f>HYPERLINK("http://exon.niaid.nih.gov/transcriptome/C_felis/S2/links/KOG/Cf-108-KOG.txt","60s ribosomal protein L2/L8")</f>
        <v>60s ribosomal protein L2/L8</v>
      </c>
      <c r="BV83" t="str">
        <f>HYPERLINK("http://www.ncbi.nlm.nih.gov/COG/grace/shokog.cgi?KOG2309","9E-075")</f>
        <v>9E-075</v>
      </c>
      <c r="BW83" t="s">
        <v>62</v>
      </c>
      <c r="BX83" t="str">
        <f>HYPERLINK("http://exon.niaid.nih.gov/transcriptome/C_felis/S2/links/KOG/Cf-108-KOG.txt","KOG2309")</f>
        <v>KOG2309</v>
      </c>
      <c r="BY83" s="4" t="str">
        <f>HYPERLINK("http://exon.niaid.nih.gov/transcriptome/C_felis/S2/links/CDD/Cf-108-CDD.txt","PTZ00180")</f>
        <v>PTZ00180</v>
      </c>
      <c r="BZ83" t="str">
        <f>HYPERLINK("http://www.ncbi.nlm.nih.gov/Structure/cdd/cddsrv.cgi?uid=PTZ00180&amp;version=v4.0","7E-080")</f>
        <v>7E-080</v>
      </c>
      <c r="CA83" t="s">
        <v>152</v>
      </c>
      <c r="CB83" s="4" t="str">
        <f>HYPERLINK("http://exon.niaid.nih.gov/transcriptome/C_felis/S2/links/PFAM/Cf-108-PFAM.txt","Ribosomal_L2_C")</f>
        <v>Ribosomal_L2_C</v>
      </c>
      <c r="CC83" t="str">
        <f>HYPERLINK("http://pfam.sanger.ac.uk/family?acc=PF03947","2E-039")</f>
        <v>2E-039</v>
      </c>
      <c r="CD83" s="4" t="str">
        <f>HYPERLINK("http://exon.niaid.nih.gov/transcriptome/C_felis/S2/links/SMART/Cf-108-SMART.txt","NIDO")</f>
        <v>NIDO</v>
      </c>
      <c r="CE83" t="str">
        <f>HYPERLINK("http://smart.embl-heidelberg.de/smart/do_annotation.pl?DOMAIN=NIDO&amp;BLAST=DUMMY","1.1")</f>
        <v>1.1</v>
      </c>
      <c r="CF83" s="4" t="s">
        <v>7</v>
      </c>
      <c r="CG83" t="s">
        <v>7</v>
      </c>
      <c r="CH83" t="s">
        <v>7</v>
      </c>
      <c r="CI83" t="s">
        <v>7</v>
      </c>
      <c r="CJ83" t="s">
        <v>7</v>
      </c>
      <c r="CK83" s="7">
        <f>HYPERLINK("http://exon.niaid.nih.gov/transcriptome/C_felis/S2/links/cluster/cf-pep95-2-Id-CLU8.txt", 8)</f>
        <v>8</v>
      </c>
      <c r="CL83" s="2">
        <f>HYPERLINK("http://exon.niaid.nih.gov/transcriptome/C_felis/S2/links/cluster/cf-pep95-2-Id-CLTL8.txt", 2)</f>
        <v>2</v>
      </c>
      <c r="CM83" s="7">
        <f>HYPERLINK("http://exon.niaid.nih.gov/transcriptome/C_felis/S2/links/cluster/cf-pep100-3-Id-CLU8.txt", 8)</f>
        <v>8</v>
      </c>
      <c r="CN83" s="2">
        <f>HYPERLINK("http://exon.niaid.nih.gov/transcriptome/C_felis/S2/links/cluster/cf-pep100-3-Id-CLTL8.txt", 2)</f>
        <v>2</v>
      </c>
      <c r="CO83" s="7">
        <f>HYPERLINK("http://exon.niaid.nih.gov/transcriptome/C_felis/S2/links/cluster/cf-pep100-4-Id-CLU8.txt", 8)</f>
        <v>8</v>
      </c>
      <c r="CP83" s="2">
        <f>HYPERLINK("http://exon.niaid.nih.gov/transcriptome/C_felis/S2/links/cluster/cf-pep100-4-Id-CLTL8.txt", 2)</f>
        <v>2</v>
      </c>
      <c r="CQ83" s="7">
        <f>HYPERLINK("http://exon.niaid.nih.gov/transcriptome/C_felis/S2/links/cluster/cf-pep25-50-Sim-CLU9.txt", 9)</f>
        <v>9</v>
      </c>
      <c r="CR83" s="2">
        <f>HYPERLINK("http://exon.niaid.nih.gov/transcriptome/C_felis/S2/links/cluster/cf-pep25-50-Sim-CLTL9.txt", 2)</f>
        <v>2</v>
      </c>
      <c r="CS83" s="7">
        <f>HYPERLINK("http://exon.niaid.nih.gov/transcriptome/C_felis/S2/links/cluster/cf-pep30-50-Sim-CLU10.txt", 10)</f>
        <v>10</v>
      </c>
      <c r="CT83" s="2">
        <f>HYPERLINK("http://exon.niaid.nih.gov/transcriptome/C_felis/S2/links/cluster/cf-pep30-50-Sim-CLTL10.txt", 2)</f>
        <v>2</v>
      </c>
      <c r="CU83" s="7">
        <f>HYPERLINK("http://exon.niaid.nih.gov/transcriptome/C_felis/S2/links/cluster/cf-pep35-50-Sim-CLU10.txt", 10)</f>
        <v>10</v>
      </c>
      <c r="CV83" s="2">
        <f>HYPERLINK("http://exon.niaid.nih.gov/transcriptome/C_felis/S2/links/cluster/cf-pep35-50-Sim-CLTL10.txt", 2)</f>
        <v>2</v>
      </c>
      <c r="CW83" s="7">
        <f>HYPERLINK("http://exon.niaid.nih.gov/transcriptome/C_felis/S2/links/cluster/cf-pep40-50-Sim-CLU9.txt", 9)</f>
        <v>9</v>
      </c>
      <c r="CX83" s="2">
        <f>HYPERLINK("http://exon.niaid.nih.gov/transcriptome/C_felis/S2/links/cluster/cf-pep40-50-Sim-CLTL9.txt", 2)</f>
        <v>2</v>
      </c>
      <c r="CY83" s="7">
        <f>HYPERLINK("http://exon.niaid.nih.gov/transcriptome/C_felis/S2/links/cluster/cf-pep45-50-Sim-CLU10.txt", 10)</f>
        <v>10</v>
      </c>
      <c r="CZ83" s="2">
        <f>HYPERLINK("http://exon.niaid.nih.gov/transcriptome/C_felis/S2/links/cluster/cf-pep45-50-Sim-CLTL10.txt", 2)</f>
        <v>2</v>
      </c>
      <c r="DA83" s="7">
        <f>HYPERLINK("http://exon.niaid.nih.gov/transcriptome/C_felis/S2/links/cluster/cf-pep50-50-Sim-CLU11.txt", 11)</f>
        <v>11</v>
      </c>
      <c r="DB83" s="2">
        <f>HYPERLINK("http://exon.niaid.nih.gov/transcriptome/C_felis/S2/links/cluster/cf-pep50-50-Sim-CLTL11.txt", 2)</f>
        <v>2</v>
      </c>
      <c r="DC83" s="7">
        <f>HYPERLINK("http://exon.niaid.nih.gov/transcriptome/C_felis/S2/links/cluster/cf-pep55-50-Sim-CLU10.txt", 10)</f>
        <v>10</v>
      </c>
      <c r="DD83" s="2">
        <f>HYPERLINK("http://exon.niaid.nih.gov/transcriptome/C_felis/S2/links/cluster/cf-pep55-50-Sim-CLTL10.txt", 2)</f>
        <v>2</v>
      </c>
      <c r="DE83" s="7">
        <f>HYPERLINK("http://exon.niaid.nih.gov/transcriptome/C_felis/S2/links/cluster/cf-pep60-50-Sim-CLU8.txt", 8)</f>
        <v>8</v>
      </c>
      <c r="DF83" s="2">
        <f>HYPERLINK("http://exon.niaid.nih.gov/transcriptome/C_felis/S2/links/cluster/cf-pep60-50-Sim-CLTL8.txt", 2)</f>
        <v>2</v>
      </c>
      <c r="DG83" s="7">
        <f>HYPERLINK("http://exon.niaid.nih.gov/transcriptome/C_felis/S2/links/cluster/cf-pep65-50-Sim-CLU7.txt", 7)</f>
        <v>7</v>
      </c>
      <c r="DH83" s="2">
        <f>HYPERLINK("http://exon.niaid.nih.gov/transcriptome/C_felis/S2/links/cluster/cf-pep65-50-Sim-CLTL7.txt", 2)</f>
        <v>2</v>
      </c>
      <c r="DI83" s="7">
        <f>HYPERLINK("http://exon.niaid.nih.gov/transcriptome/C_felis/S2/links/cluster/cf-pep70-50-Sim-CLU7.txt", 7)</f>
        <v>7</v>
      </c>
      <c r="DJ83" s="2">
        <f>HYPERLINK("http://exon.niaid.nih.gov/transcriptome/C_felis/S2/links/cluster/cf-pep70-50-Sim-CLTL7.txt", 2)</f>
        <v>2</v>
      </c>
      <c r="DK83" s="7">
        <v>17</v>
      </c>
      <c r="DL83" s="2">
        <v>1</v>
      </c>
      <c r="DM83" s="7">
        <v>16</v>
      </c>
      <c r="DN83" s="2">
        <v>1</v>
      </c>
      <c r="DO83" s="7">
        <v>14</v>
      </c>
      <c r="DP83" s="2">
        <v>1</v>
      </c>
      <c r="DQ83" s="7">
        <v>13</v>
      </c>
      <c r="DR83" s="2">
        <v>1</v>
      </c>
      <c r="DS83" s="7">
        <v>11</v>
      </c>
      <c r="DT83" s="2">
        <v>1</v>
      </c>
    </row>
    <row r="84" spans="1:124" x14ac:dyDescent="0.2">
      <c r="A84" t="str">
        <f>HYPERLINK("http://exon.niaid.nih.gov/transcriptome/C_felis/S2/links/pep/Cf-144-pep.txt","Cf-144")</f>
        <v>Cf-144</v>
      </c>
      <c r="B84" s="2">
        <v>4</v>
      </c>
      <c r="C84">
        <v>86</v>
      </c>
      <c r="D84" t="str">
        <f>HYPERLINK("http://exon.niaid.nih.gov/transcriptome/C_felis/S2/links/cds/Cf-144-cds.txt","Cf-144")</f>
        <v>Cf-144</v>
      </c>
      <c r="E84">
        <v>261</v>
      </c>
      <c r="F84" t="s">
        <v>467</v>
      </c>
      <c r="G84">
        <v>0</v>
      </c>
      <c r="I84" s="2" t="s">
        <v>5</v>
      </c>
      <c r="J84" s="2" t="s">
        <v>3</v>
      </c>
      <c r="K84" s="20" t="str">
        <f>HYPERLINK("http://exon.niaid.nih.gov/transcriptome/C_felis/S2/links/Sigp/Cf-144-SigP.txt","CYT")</f>
        <v>CYT</v>
      </c>
      <c r="L84" s="2" t="s">
        <v>7</v>
      </c>
      <c r="M84" s="2">
        <v>10.196999999999999</v>
      </c>
      <c r="N84" s="2">
        <v>10.83</v>
      </c>
      <c r="O84" s="2" t="s">
        <v>7</v>
      </c>
      <c r="P84" s="2" t="s">
        <v>7</v>
      </c>
      <c r="Q84" s="24" t="s">
        <v>559</v>
      </c>
      <c r="R84" s="20">
        <v>0</v>
      </c>
      <c r="S84" s="2" t="s">
        <v>7</v>
      </c>
      <c r="T84" s="2" t="s">
        <v>7</v>
      </c>
      <c r="U84" s="2" t="s">
        <v>7</v>
      </c>
      <c r="V84" s="2" t="s">
        <v>7</v>
      </c>
      <c r="W84" s="2" t="s">
        <v>7</v>
      </c>
      <c r="X84" s="20" t="str">
        <f>HYPERLINK("http://exon.niaid.nih.gov/transcriptome/C_felis/S2/links/netoglyc/CF-144-netoglyc.txt","0")</f>
        <v>0</v>
      </c>
      <c r="Y84" s="2">
        <v>7</v>
      </c>
      <c r="Z84" s="2">
        <v>9.3000000000000007</v>
      </c>
      <c r="AA84" s="2">
        <v>2.2999999999999998</v>
      </c>
      <c r="AB84" t="s">
        <v>437</v>
      </c>
      <c r="AC84" t="s">
        <v>438</v>
      </c>
      <c r="AD84" t="s">
        <v>467</v>
      </c>
      <c r="AE84" s="2">
        <v>4</v>
      </c>
      <c r="AF84" s="4" t="str">
        <f>HYPERLINK("http://exon.niaid.nih.gov/transcriptome/C_felis/S2/links/NR/Cf-144-NR.txt","ribosomal protein L44e")</f>
        <v>ribosomal protein L44e</v>
      </c>
      <c r="AG84" t="str">
        <f>HYPERLINK("http://www.ncbi.nlm.nih.gov/sutils/blink.cgi?pid=70909937","2E-042")</f>
        <v>2E-042</v>
      </c>
      <c r="AH84" t="str">
        <f>HYPERLINK("http://www.ncbi.nlm.nih.gov/protein/70909937","gi|70909937")</f>
        <v>gi|70909937</v>
      </c>
      <c r="AI84">
        <v>175</v>
      </c>
      <c r="AJ84">
        <v>83</v>
      </c>
      <c r="AK84">
        <v>104</v>
      </c>
      <c r="AL84">
        <v>97</v>
      </c>
      <c r="AM84">
        <v>81</v>
      </c>
      <c r="AN84" t="s">
        <v>176</v>
      </c>
      <c r="AO84" s="4" t="str">
        <f>HYPERLINK("http://exon.niaid.nih.gov/transcriptome/C_felis/S2/links/SWISSP/Cf-144-SWISSP.txt","60S ribosomal protein L44")</f>
        <v>60S ribosomal protein L44</v>
      </c>
      <c r="AP84" t="str">
        <f>HYPERLINK("http://www.uniprot.org/uniprot/Q9NB33","4E-041")</f>
        <v>4E-041</v>
      </c>
      <c r="AQ84" t="s">
        <v>177</v>
      </c>
      <c r="AR84">
        <v>166</v>
      </c>
      <c r="AS84">
        <v>83</v>
      </c>
      <c r="AT84">
        <v>104</v>
      </c>
      <c r="AU84">
        <v>92</v>
      </c>
      <c r="AV84">
        <v>81</v>
      </c>
      <c r="AW84" t="s">
        <v>165</v>
      </c>
      <c r="AX84" s="4" t="s">
        <v>178</v>
      </c>
      <c r="AY84">
        <f>HYPERLINK("http://exon.niaid.nih.gov/transcriptome/C_felis/S2/links/GO/Cf-144-GO.txt",2E-41)</f>
        <v>2E-41</v>
      </c>
      <c r="AZ84" t="str">
        <f t="shared" si="30"/>
        <v>GO:0003735</v>
      </c>
      <c r="BA84" t="s">
        <v>53</v>
      </c>
      <c r="BB84" t="s">
        <v>54</v>
      </c>
      <c r="BC84" t="s">
        <v>55</v>
      </c>
      <c r="BD84" t="s">
        <v>7</v>
      </c>
      <c r="BF84" s="5">
        <v>2E-41</v>
      </c>
      <c r="BG84" t="str">
        <f>HYPERLINK("http://amigo.geneontology.org/cgi-bin/amigo/term_details?term=GO:0022625","GO:0022625")</f>
        <v>GO:0022625</v>
      </c>
      <c r="BH84" t="s">
        <v>56</v>
      </c>
      <c r="BI84" t="s">
        <v>57</v>
      </c>
      <c r="BJ84" t="s">
        <v>58</v>
      </c>
      <c r="BK84" t="s">
        <v>7</v>
      </c>
      <c r="BM84" s="5">
        <v>2E-41</v>
      </c>
      <c r="BN84" t="str">
        <f t="shared" si="31"/>
        <v>GO:0006412</v>
      </c>
      <c r="BO84" t="s">
        <v>59</v>
      </c>
      <c r="BP84" t="s">
        <v>60</v>
      </c>
      <c r="BQ84" t="s">
        <v>61</v>
      </c>
      <c r="BR84" t="s">
        <v>7</v>
      </c>
      <c r="BT84" s="5">
        <v>2E-41</v>
      </c>
      <c r="BU84" s="4" t="str">
        <f>HYPERLINK("http://exon.niaid.nih.gov/transcriptome/C_felis/S2/links/KOG/Cf-144-KOG.txt","60S ribosomal protein L44")</f>
        <v>60S ribosomal protein L44</v>
      </c>
      <c r="BV84" t="str">
        <f>HYPERLINK("http://www.ncbi.nlm.nih.gov/COG/grace/shokog.cgi?KOG3464","5E-022")</f>
        <v>5E-022</v>
      </c>
      <c r="BW84" t="s">
        <v>62</v>
      </c>
      <c r="BX84" t="str">
        <f>HYPERLINK("http://exon.niaid.nih.gov/transcriptome/C_felis/S2/links/KOG/Cf-144-KOG.txt","KOG3464")</f>
        <v>KOG3464</v>
      </c>
      <c r="BY84" s="4" t="str">
        <f>HYPERLINK("http://exon.niaid.nih.gov/transcriptome/C_felis/S2/links/CDD/Cf-144-CDD.txt","Ribosomal_L44")</f>
        <v>Ribosomal_L44</v>
      </c>
      <c r="BZ84" t="str">
        <f>HYPERLINK("http://www.ncbi.nlm.nih.gov/Structure/cdd/cddsrv.cgi?uid=pfam00935&amp;version=v4.0","7E-020")</f>
        <v>7E-020</v>
      </c>
      <c r="CA84" t="s">
        <v>179</v>
      </c>
      <c r="CB84" s="4" t="str">
        <f>HYPERLINK("http://exon.niaid.nih.gov/transcriptome/C_felis/S2/links/PFAM/Cf-144-PFAM.txt","Ribosomal_L44")</f>
        <v>Ribosomal_L44</v>
      </c>
      <c r="CC84" t="str">
        <f>HYPERLINK("http://pfam.sanger.ac.uk/family?acc=PF00935","1E-020")</f>
        <v>1E-020</v>
      </c>
      <c r="CD84" s="4" t="str">
        <f>HYPERLINK("http://exon.niaid.nih.gov/transcriptome/C_felis/S2/links/SMART/Cf-144-SMART.txt","DM7")</f>
        <v>DM7</v>
      </c>
      <c r="CE84" t="str">
        <f>HYPERLINK("http://smart.embl-heidelberg.de/smart/do_annotation.pl?DOMAIN=DM7&amp;BLAST=DUMMY","0.37")</f>
        <v>0.37</v>
      </c>
      <c r="CF84" s="4" t="s">
        <v>7</v>
      </c>
      <c r="CG84" t="s">
        <v>7</v>
      </c>
      <c r="CH84" t="s">
        <v>7</v>
      </c>
      <c r="CI84" t="s">
        <v>7</v>
      </c>
      <c r="CJ84" t="s">
        <v>7</v>
      </c>
      <c r="CK84" s="7">
        <f>HYPERLINK("http://exon.niaid.nih.gov/transcriptome/C_felis/S2/links/cluster/cf-pep95-2-Id-CLU10.txt", 10)</f>
        <v>10</v>
      </c>
      <c r="CL84" s="2">
        <f>HYPERLINK("http://exon.niaid.nih.gov/transcriptome/C_felis/S2/links/cluster/cf-pep95-2-Id-CLTL10.txt", 2)</f>
        <v>2</v>
      </c>
      <c r="CM84" s="7">
        <f>HYPERLINK("http://exon.niaid.nih.gov/transcriptome/C_felis/S2/links/cluster/cf-pep100-3-Id-CLU10.txt", 10)</f>
        <v>10</v>
      </c>
      <c r="CN84" s="2">
        <f>HYPERLINK("http://exon.niaid.nih.gov/transcriptome/C_felis/S2/links/cluster/cf-pep100-3-Id-CLTL10.txt", 2)</f>
        <v>2</v>
      </c>
      <c r="CO84" s="7">
        <f>HYPERLINK("http://exon.niaid.nih.gov/transcriptome/C_felis/S2/links/cluster/cf-pep100-4-Id-CLU10.txt", 10)</f>
        <v>10</v>
      </c>
      <c r="CP84" s="2">
        <f>HYPERLINK("http://exon.niaid.nih.gov/transcriptome/C_felis/S2/links/cluster/cf-pep100-4-Id-CLTL10.txt", 2)</f>
        <v>2</v>
      </c>
      <c r="CQ84" s="7">
        <f>HYPERLINK("http://exon.niaid.nih.gov/transcriptome/C_felis/S2/links/cluster/cf-pep25-50-Sim-CLU2.txt", 2)</f>
        <v>2</v>
      </c>
      <c r="CR84" s="2">
        <f>HYPERLINK("http://exon.niaid.nih.gov/transcriptome/C_felis/S2/links/cluster/cf-pep25-50-Sim-CLTL2.txt", 34)</f>
        <v>34</v>
      </c>
      <c r="CS84" s="7">
        <f>HYPERLINK("http://exon.niaid.nih.gov/transcriptome/C_felis/S2/links/cluster/cf-pep30-50-Sim-CLU12.txt", 12)</f>
        <v>12</v>
      </c>
      <c r="CT84" s="2">
        <f>HYPERLINK("http://exon.niaid.nih.gov/transcriptome/C_felis/S2/links/cluster/cf-pep30-50-Sim-CLTL12.txt", 2)</f>
        <v>2</v>
      </c>
      <c r="CU84" s="7">
        <f>HYPERLINK("http://exon.niaid.nih.gov/transcriptome/C_felis/S2/links/cluster/cf-pep35-50-Sim-CLU12.txt", 12)</f>
        <v>12</v>
      </c>
      <c r="CV84" s="2">
        <f>HYPERLINK("http://exon.niaid.nih.gov/transcriptome/C_felis/S2/links/cluster/cf-pep35-50-Sim-CLTL12.txt", 2)</f>
        <v>2</v>
      </c>
      <c r="CW84" s="7">
        <f>HYPERLINK("http://exon.niaid.nih.gov/transcriptome/C_felis/S2/links/cluster/cf-pep40-50-Sim-CLU11.txt", 11)</f>
        <v>11</v>
      </c>
      <c r="CX84" s="2">
        <f>HYPERLINK("http://exon.niaid.nih.gov/transcriptome/C_felis/S2/links/cluster/cf-pep40-50-Sim-CLTL11.txt", 2)</f>
        <v>2</v>
      </c>
      <c r="CY84" s="7">
        <f>HYPERLINK("http://exon.niaid.nih.gov/transcriptome/C_felis/S2/links/cluster/cf-pep45-50-Sim-CLU12.txt", 12)</f>
        <v>12</v>
      </c>
      <c r="CZ84" s="2">
        <f>HYPERLINK("http://exon.niaid.nih.gov/transcriptome/C_felis/S2/links/cluster/cf-pep45-50-Sim-CLTL12.txt", 2)</f>
        <v>2</v>
      </c>
      <c r="DA84" s="7">
        <f>HYPERLINK("http://exon.niaid.nih.gov/transcriptome/C_felis/S2/links/cluster/cf-pep50-50-Sim-CLU13.txt", 13)</f>
        <v>13</v>
      </c>
      <c r="DB84" s="2">
        <f>HYPERLINK("http://exon.niaid.nih.gov/transcriptome/C_felis/S2/links/cluster/cf-pep50-50-Sim-CLTL13.txt", 2)</f>
        <v>2</v>
      </c>
      <c r="DC84" s="7">
        <f>HYPERLINK("http://exon.niaid.nih.gov/transcriptome/C_felis/S2/links/cluster/cf-pep55-50-Sim-CLU12.txt", 12)</f>
        <v>12</v>
      </c>
      <c r="DD84" s="2">
        <f>HYPERLINK("http://exon.niaid.nih.gov/transcriptome/C_felis/S2/links/cluster/cf-pep55-50-Sim-CLTL12.txt", 2)</f>
        <v>2</v>
      </c>
      <c r="DE84" s="7">
        <f>HYPERLINK("http://exon.niaid.nih.gov/transcriptome/C_felis/S2/links/cluster/cf-pep60-50-Sim-CLU10.txt", 10)</f>
        <v>10</v>
      </c>
      <c r="DF84" s="2">
        <f>HYPERLINK("http://exon.niaid.nih.gov/transcriptome/C_felis/S2/links/cluster/cf-pep60-50-Sim-CLTL10.txt", 2)</f>
        <v>2</v>
      </c>
      <c r="DG84" s="7">
        <f>HYPERLINK("http://exon.niaid.nih.gov/transcriptome/C_felis/S2/links/cluster/cf-pep65-50-Sim-CLU8.txt", 8)</f>
        <v>8</v>
      </c>
      <c r="DH84" s="2">
        <f>HYPERLINK("http://exon.niaid.nih.gov/transcriptome/C_felis/S2/links/cluster/cf-pep65-50-Sim-CLTL8.txt", 2)</f>
        <v>2</v>
      </c>
      <c r="DI84" s="7">
        <f>HYPERLINK("http://exon.niaid.nih.gov/transcriptome/C_felis/S2/links/cluster/cf-pep70-50-Sim-CLU8.txt", 8)</f>
        <v>8</v>
      </c>
      <c r="DJ84" s="2">
        <f>HYPERLINK("http://exon.niaid.nih.gov/transcriptome/C_felis/S2/links/cluster/cf-pep70-50-Sim-CLTL8.txt", 2)</f>
        <v>2</v>
      </c>
      <c r="DK84" s="7">
        <f>HYPERLINK("http://exon.niaid.nih.gov/transcriptome/C_felis/S2/links/cluster/cf-pep75-50-Sim-CLU7.txt", 7)</f>
        <v>7</v>
      </c>
      <c r="DL84" s="2">
        <f>HYPERLINK("http://exon.niaid.nih.gov/transcriptome/C_felis/S2/links/cluster/cf-pep75-50-Sim-CLTL7.txt", 2)</f>
        <v>2</v>
      </c>
      <c r="DM84" s="7">
        <f>HYPERLINK("http://exon.niaid.nih.gov/transcriptome/C_felis/S2/links/cluster/cf-pep80-50-Sim-CLU6.txt", 6)</f>
        <v>6</v>
      </c>
      <c r="DN84" s="2">
        <f>HYPERLINK("http://exon.niaid.nih.gov/transcriptome/C_felis/S2/links/cluster/cf-pep80-50-Sim-CLTL6.txt", 2)</f>
        <v>2</v>
      </c>
      <c r="DO84" s="7">
        <f>HYPERLINK("http://exon.niaid.nih.gov/transcriptome/C_felis/S2/links/cluster/cf-pep85-50-Sim-CLU5.txt", 5)</f>
        <v>5</v>
      </c>
      <c r="DP84" s="2">
        <f>HYPERLINK("http://exon.niaid.nih.gov/transcriptome/C_felis/S2/links/cluster/cf-pep85-50-Sim-CLTL5.txt", 2)</f>
        <v>2</v>
      </c>
      <c r="DQ84" s="7">
        <f>HYPERLINK("http://exon.niaid.nih.gov/transcriptome/C_felis/S2/links/cluster/cf-pep90-50-Sim-CLU5.txt", 5)</f>
        <v>5</v>
      </c>
      <c r="DR84" s="2">
        <f>HYPERLINK("http://exon.niaid.nih.gov/transcriptome/C_felis/S2/links/cluster/cf-pep90-50-Sim-CLTL5.txt", 2)</f>
        <v>2</v>
      </c>
      <c r="DS84" s="7">
        <f>HYPERLINK("http://exon.niaid.nih.gov/transcriptome/C_felis/S2/links/cluster/cf-pep95-50-Sim-CLU4.txt", 4)</f>
        <v>4</v>
      </c>
      <c r="DT84" s="2">
        <f>HYPERLINK("http://exon.niaid.nih.gov/transcriptome/C_felis/S2/links/cluster/cf-pep95-50-Sim-CLTL4.txt", 2)</f>
        <v>2</v>
      </c>
    </row>
    <row r="85" spans="1:124" x14ac:dyDescent="0.2">
      <c r="A85" t="str">
        <f>HYPERLINK("http://exon.niaid.nih.gov/transcriptome/C_felis/S2/links/pep/Cf-145-pep.txt","Cf-145")</f>
        <v>Cf-145</v>
      </c>
      <c r="B85" s="2">
        <v>1</v>
      </c>
      <c r="C85">
        <v>84</v>
      </c>
      <c r="D85" t="str">
        <f>HYPERLINK("http://exon.niaid.nih.gov/transcriptome/C_felis/S2/links/cds/Cf-145-cds.txt","Cf-145")</f>
        <v>Cf-145</v>
      </c>
      <c r="E85">
        <v>255</v>
      </c>
      <c r="F85" t="s">
        <v>467</v>
      </c>
      <c r="G85">
        <v>0</v>
      </c>
      <c r="I85" s="2" t="s">
        <v>12</v>
      </c>
      <c r="J85" s="2" t="s">
        <v>3</v>
      </c>
      <c r="K85" s="20" t="str">
        <f>HYPERLINK("http://exon.niaid.nih.gov/transcriptome/C_felis/S2/links/Sigp/Cf-145-SigP.txt","CYT")</f>
        <v>CYT</v>
      </c>
      <c r="L85" s="2" t="s">
        <v>7</v>
      </c>
      <c r="M85" s="2">
        <v>10.076000000000001</v>
      </c>
      <c r="N85" s="2">
        <v>10.83</v>
      </c>
      <c r="O85" s="2" t="s">
        <v>7</v>
      </c>
      <c r="P85" s="2" t="s">
        <v>7</v>
      </c>
      <c r="Q85" s="24" t="s">
        <v>559</v>
      </c>
      <c r="R85" s="20">
        <v>0</v>
      </c>
      <c r="S85" s="2" t="s">
        <v>7</v>
      </c>
      <c r="T85" s="2" t="s">
        <v>7</v>
      </c>
      <c r="U85" s="2" t="s">
        <v>7</v>
      </c>
      <c r="V85" s="2" t="s">
        <v>7</v>
      </c>
      <c r="W85" s="2" t="s">
        <v>7</v>
      </c>
      <c r="X85" s="20" t="str">
        <f>HYPERLINK("http://exon.niaid.nih.gov/transcriptome/C_felis/S2/links/netoglyc/CF-145-netoglyc.txt","0")</f>
        <v>0</v>
      </c>
      <c r="Y85" s="2">
        <v>7.1</v>
      </c>
      <c r="Z85" s="2">
        <v>8.3000000000000007</v>
      </c>
      <c r="AA85" s="2">
        <v>2.4</v>
      </c>
      <c r="AB85" t="s">
        <v>437</v>
      </c>
      <c r="AC85" t="s">
        <v>438</v>
      </c>
      <c r="AD85" t="s">
        <v>467</v>
      </c>
      <c r="AE85" s="2">
        <v>1</v>
      </c>
      <c r="AF85" s="4" t="str">
        <f>HYPERLINK("http://exon.niaid.nih.gov/transcriptome/C_felis/S2/links/NR/Cf-145-NR.txt","ribosomal protein L44e")</f>
        <v>ribosomal protein L44e</v>
      </c>
      <c r="AG85" t="str">
        <f>HYPERLINK("http://www.ncbi.nlm.nih.gov/sutils/blink.cgi?pid=70909937","2E-042")</f>
        <v>2E-042</v>
      </c>
      <c r="AH85" t="str">
        <f>HYPERLINK("http://www.ncbi.nlm.nih.gov/protein/70909937","gi|70909937")</f>
        <v>gi|70909937</v>
      </c>
      <c r="AI85">
        <v>175</v>
      </c>
      <c r="AJ85">
        <v>83</v>
      </c>
      <c r="AK85">
        <v>104</v>
      </c>
      <c r="AL85">
        <v>97</v>
      </c>
      <c r="AM85">
        <v>81</v>
      </c>
      <c r="AN85" t="s">
        <v>176</v>
      </c>
      <c r="AO85" s="4" t="str">
        <f>HYPERLINK("http://exon.niaid.nih.gov/transcriptome/C_felis/S2/links/SWISSP/Cf-145-SWISSP.txt","60S ribosomal protein L44")</f>
        <v>60S ribosomal protein L44</v>
      </c>
      <c r="AP85" t="str">
        <f>HYPERLINK("http://www.uniprot.org/uniprot/Q9NB33","4E-041")</f>
        <v>4E-041</v>
      </c>
      <c r="AQ85" t="s">
        <v>177</v>
      </c>
      <c r="AR85">
        <v>166</v>
      </c>
      <c r="AS85">
        <v>83</v>
      </c>
      <c r="AT85">
        <v>104</v>
      </c>
      <c r="AU85">
        <v>92</v>
      </c>
      <c r="AV85">
        <v>81</v>
      </c>
      <c r="AW85" t="s">
        <v>165</v>
      </c>
      <c r="AX85" s="4" t="s">
        <v>178</v>
      </c>
      <c r="AY85">
        <f>HYPERLINK("http://exon.niaid.nih.gov/transcriptome/C_felis/S2/links/GO/Cf-145-GO.txt",2E-41)</f>
        <v>2E-41</v>
      </c>
      <c r="AZ85" t="str">
        <f t="shared" si="30"/>
        <v>GO:0003735</v>
      </c>
      <c r="BA85" t="s">
        <v>53</v>
      </c>
      <c r="BB85" t="s">
        <v>54</v>
      </c>
      <c r="BC85" t="s">
        <v>55</v>
      </c>
      <c r="BD85" t="s">
        <v>7</v>
      </c>
      <c r="BF85" s="5">
        <v>2E-41</v>
      </c>
      <c r="BG85" t="str">
        <f>HYPERLINK("http://amigo.geneontology.org/cgi-bin/amigo/term_details?term=GO:0022625","GO:0022625")</f>
        <v>GO:0022625</v>
      </c>
      <c r="BH85" t="s">
        <v>56</v>
      </c>
      <c r="BI85" t="s">
        <v>57</v>
      </c>
      <c r="BJ85" t="s">
        <v>58</v>
      </c>
      <c r="BK85" t="s">
        <v>7</v>
      </c>
      <c r="BM85" s="5">
        <v>2E-41</v>
      </c>
      <c r="BN85" t="str">
        <f t="shared" si="31"/>
        <v>GO:0006412</v>
      </c>
      <c r="BO85" t="s">
        <v>59</v>
      </c>
      <c r="BP85" t="s">
        <v>60</v>
      </c>
      <c r="BQ85" t="s">
        <v>61</v>
      </c>
      <c r="BR85" t="s">
        <v>7</v>
      </c>
      <c r="BT85" s="5">
        <v>2E-41</v>
      </c>
      <c r="BU85" s="4" t="str">
        <f>HYPERLINK("http://exon.niaid.nih.gov/transcriptome/C_felis/S2/links/KOG/Cf-145-KOG.txt","60S ribosomal protein L44")</f>
        <v>60S ribosomal protein L44</v>
      </c>
      <c r="BV85" t="str">
        <f>HYPERLINK("http://www.ncbi.nlm.nih.gov/COG/grace/shokog.cgi?KOG3464","2E-021")</f>
        <v>2E-021</v>
      </c>
      <c r="BW85" t="s">
        <v>62</v>
      </c>
      <c r="BX85" t="str">
        <f>HYPERLINK("http://exon.niaid.nih.gov/transcriptome/C_felis/S2/links/KOG/Cf-145-KOG.txt","KOG3464")</f>
        <v>KOG3464</v>
      </c>
      <c r="BY85" s="4" t="str">
        <f>HYPERLINK("http://exon.niaid.nih.gov/transcriptome/C_felis/S2/links/CDD/Cf-145-CDD.txt","Ribosomal_L44")</f>
        <v>Ribosomal_L44</v>
      </c>
      <c r="BZ85" t="str">
        <f>HYPERLINK("http://www.ncbi.nlm.nih.gov/Structure/cdd/cddsrv.cgi?uid=pfam00935&amp;version=v4.0","2E-019")</f>
        <v>2E-019</v>
      </c>
      <c r="CA85" t="s">
        <v>180</v>
      </c>
      <c r="CB85" s="4" t="str">
        <f>HYPERLINK("http://exon.niaid.nih.gov/transcriptome/C_felis/S2/links/PFAM/Cf-145-PFAM.txt","Ribosomal_L44")</f>
        <v>Ribosomal_L44</v>
      </c>
      <c r="CC85" t="str">
        <f>HYPERLINK("http://pfam.sanger.ac.uk/family?acc=PF00935","4E-020")</f>
        <v>4E-020</v>
      </c>
      <c r="CD85" s="4" t="str">
        <f>HYPERLINK("http://exon.niaid.nih.gov/transcriptome/C_felis/S2/links/SMART/Cf-145-SMART.txt","DM7")</f>
        <v>DM7</v>
      </c>
      <c r="CE85" t="str">
        <f>HYPERLINK("http://smart.embl-heidelberg.de/smart/do_annotation.pl?DOMAIN=DM7&amp;BLAST=DUMMY","0.38")</f>
        <v>0.38</v>
      </c>
      <c r="CF85" s="4" t="s">
        <v>7</v>
      </c>
      <c r="CG85" t="s">
        <v>7</v>
      </c>
      <c r="CH85" t="s">
        <v>7</v>
      </c>
      <c r="CI85" t="s">
        <v>7</v>
      </c>
      <c r="CJ85" t="s">
        <v>7</v>
      </c>
      <c r="CK85" s="7">
        <f>HYPERLINK("http://exon.niaid.nih.gov/transcriptome/C_felis/S2/links/cluster/cf-pep95-2-Id-CLU10.txt", 10)</f>
        <v>10</v>
      </c>
      <c r="CL85" s="2">
        <f>HYPERLINK("http://exon.niaid.nih.gov/transcriptome/C_felis/S2/links/cluster/cf-pep95-2-Id-CLTL10.txt", 2)</f>
        <v>2</v>
      </c>
      <c r="CM85" s="7">
        <f>HYPERLINK("http://exon.niaid.nih.gov/transcriptome/C_felis/S2/links/cluster/cf-pep100-3-Id-CLU10.txt", 10)</f>
        <v>10</v>
      </c>
      <c r="CN85" s="2">
        <f>HYPERLINK("http://exon.niaid.nih.gov/transcriptome/C_felis/S2/links/cluster/cf-pep100-3-Id-CLTL10.txt", 2)</f>
        <v>2</v>
      </c>
      <c r="CO85" s="7">
        <f>HYPERLINK("http://exon.niaid.nih.gov/transcriptome/C_felis/S2/links/cluster/cf-pep100-4-Id-CLU10.txt", 10)</f>
        <v>10</v>
      </c>
      <c r="CP85" s="2">
        <f>HYPERLINK("http://exon.niaid.nih.gov/transcriptome/C_felis/S2/links/cluster/cf-pep100-4-Id-CLTL10.txt", 2)</f>
        <v>2</v>
      </c>
      <c r="CQ85" s="7">
        <f>HYPERLINK("http://exon.niaid.nih.gov/transcriptome/C_felis/S2/links/cluster/cf-pep25-50-Sim-CLU2.txt", 2)</f>
        <v>2</v>
      </c>
      <c r="CR85" s="2">
        <f>HYPERLINK("http://exon.niaid.nih.gov/transcriptome/C_felis/S2/links/cluster/cf-pep25-50-Sim-CLTL2.txt", 34)</f>
        <v>34</v>
      </c>
      <c r="CS85" s="7">
        <f>HYPERLINK("http://exon.niaid.nih.gov/transcriptome/C_felis/S2/links/cluster/cf-pep30-50-Sim-CLU12.txt", 12)</f>
        <v>12</v>
      </c>
      <c r="CT85" s="2">
        <f>HYPERLINK("http://exon.niaid.nih.gov/transcriptome/C_felis/S2/links/cluster/cf-pep30-50-Sim-CLTL12.txt", 2)</f>
        <v>2</v>
      </c>
      <c r="CU85" s="7">
        <f>HYPERLINK("http://exon.niaid.nih.gov/transcriptome/C_felis/S2/links/cluster/cf-pep35-50-Sim-CLU12.txt", 12)</f>
        <v>12</v>
      </c>
      <c r="CV85" s="2">
        <f>HYPERLINK("http://exon.niaid.nih.gov/transcriptome/C_felis/S2/links/cluster/cf-pep35-50-Sim-CLTL12.txt", 2)</f>
        <v>2</v>
      </c>
      <c r="CW85" s="7">
        <f>HYPERLINK("http://exon.niaid.nih.gov/transcriptome/C_felis/S2/links/cluster/cf-pep40-50-Sim-CLU11.txt", 11)</f>
        <v>11</v>
      </c>
      <c r="CX85" s="2">
        <f>HYPERLINK("http://exon.niaid.nih.gov/transcriptome/C_felis/S2/links/cluster/cf-pep40-50-Sim-CLTL11.txt", 2)</f>
        <v>2</v>
      </c>
      <c r="CY85" s="7">
        <f>HYPERLINK("http://exon.niaid.nih.gov/transcriptome/C_felis/S2/links/cluster/cf-pep45-50-Sim-CLU12.txt", 12)</f>
        <v>12</v>
      </c>
      <c r="CZ85" s="2">
        <f>HYPERLINK("http://exon.niaid.nih.gov/transcriptome/C_felis/S2/links/cluster/cf-pep45-50-Sim-CLTL12.txt", 2)</f>
        <v>2</v>
      </c>
      <c r="DA85" s="7">
        <f>HYPERLINK("http://exon.niaid.nih.gov/transcriptome/C_felis/S2/links/cluster/cf-pep50-50-Sim-CLU13.txt", 13)</f>
        <v>13</v>
      </c>
      <c r="DB85" s="2">
        <f>HYPERLINK("http://exon.niaid.nih.gov/transcriptome/C_felis/S2/links/cluster/cf-pep50-50-Sim-CLTL13.txt", 2)</f>
        <v>2</v>
      </c>
      <c r="DC85" s="7">
        <f>HYPERLINK("http://exon.niaid.nih.gov/transcriptome/C_felis/S2/links/cluster/cf-pep55-50-Sim-CLU12.txt", 12)</f>
        <v>12</v>
      </c>
      <c r="DD85" s="2">
        <f>HYPERLINK("http://exon.niaid.nih.gov/transcriptome/C_felis/S2/links/cluster/cf-pep55-50-Sim-CLTL12.txt", 2)</f>
        <v>2</v>
      </c>
      <c r="DE85" s="7">
        <f>HYPERLINK("http://exon.niaid.nih.gov/transcriptome/C_felis/S2/links/cluster/cf-pep60-50-Sim-CLU10.txt", 10)</f>
        <v>10</v>
      </c>
      <c r="DF85" s="2">
        <f>HYPERLINK("http://exon.niaid.nih.gov/transcriptome/C_felis/S2/links/cluster/cf-pep60-50-Sim-CLTL10.txt", 2)</f>
        <v>2</v>
      </c>
      <c r="DG85" s="7">
        <f>HYPERLINK("http://exon.niaid.nih.gov/transcriptome/C_felis/S2/links/cluster/cf-pep65-50-Sim-CLU8.txt", 8)</f>
        <v>8</v>
      </c>
      <c r="DH85" s="2">
        <f>HYPERLINK("http://exon.niaid.nih.gov/transcriptome/C_felis/S2/links/cluster/cf-pep65-50-Sim-CLTL8.txt", 2)</f>
        <v>2</v>
      </c>
      <c r="DI85" s="7">
        <f>HYPERLINK("http://exon.niaid.nih.gov/transcriptome/C_felis/S2/links/cluster/cf-pep70-50-Sim-CLU8.txt", 8)</f>
        <v>8</v>
      </c>
      <c r="DJ85" s="2">
        <f>HYPERLINK("http://exon.niaid.nih.gov/transcriptome/C_felis/S2/links/cluster/cf-pep70-50-Sim-CLTL8.txt", 2)</f>
        <v>2</v>
      </c>
      <c r="DK85" s="7">
        <f>HYPERLINK("http://exon.niaid.nih.gov/transcriptome/C_felis/S2/links/cluster/cf-pep75-50-Sim-CLU7.txt", 7)</f>
        <v>7</v>
      </c>
      <c r="DL85" s="2">
        <f>HYPERLINK("http://exon.niaid.nih.gov/transcriptome/C_felis/S2/links/cluster/cf-pep75-50-Sim-CLTL7.txt", 2)</f>
        <v>2</v>
      </c>
      <c r="DM85" s="7">
        <f>HYPERLINK("http://exon.niaid.nih.gov/transcriptome/C_felis/S2/links/cluster/cf-pep80-50-Sim-CLU6.txt", 6)</f>
        <v>6</v>
      </c>
      <c r="DN85" s="2">
        <f>HYPERLINK("http://exon.niaid.nih.gov/transcriptome/C_felis/S2/links/cluster/cf-pep80-50-Sim-CLTL6.txt", 2)</f>
        <v>2</v>
      </c>
      <c r="DO85" s="7">
        <f>HYPERLINK("http://exon.niaid.nih.gov/transcriptome/C_felis/S2/links/cluster/cf-pep85-50-Sim-CLU5.txt", 5)</f>
        <v>5</v>
      </c>
      <c r="DP85" s="2">
        <f>HYPERLINK("http://exon.niaid.nih.gov/transcriptome/C_felis/S2/links/cluster/cf-pep85-50-Sim-CLTL5.txt", 2)</f>
        <v>2</v>
      </c>
      <c r="DQ85" s="7">
        <f>HYPERLINK("http://exon.niaid.nih.gov/transcriptome/C_felis/S2/links/cluster/cf-pep90-50-Sim-CLU5.txt", 5)</f>
        <v>5</v>
      </c>
      <c r="DR85" s="2">
        <f>HYPERLINK("http://exon.niaid.nih.gov/transcriptome/C_felis/S2/links/cluster/cf-pep90-50-Sim-CLTL5.txt", 2)</f>
        <v>2</v>
      </c>
      <c r="DS85" s="7">
        <f>HYPERLINK("http://exon.niaid.nih.gov/transcriptome/C_felis/S2/links/cluster/cf-pep95-50-Sim-CLU4.txt", 4)</f>
        <v>4</v>
      </c>
      <c r="DT85" s="2">
        <f>HYPERLINK("http://exon.niaid.nih.gov/transcriptome/C_felis/S2/links/cluster/cf-pep95-50-Sim-CLTL4.txt", 2)</f>
        <v>2</v>
      </c>
    </row>
    <row r="86" spans="1:124" x14ac:dyDescent="0.2">
      <c r="A86" t="str">
        <f>HYPERLINK("http://exon.niaid.nih.gov/transcriptome/C_felis/S2/links/pep/Cf-213-pep.txt","Cf-213")</f>
        <v>Cf-213</v>
      </c>
      <c r="B86" s="2">
        <v>3</v>
      </c>
      <c r="C86">
        <v>70</v>
      </c>
      <c r="D86" t="str">
        <f>HYPERLINK("http://exon.niaid.nih.gov/transcriptome/C_felis/S2/links/cds/Cf-213-cds.txt","Cf-213")</f>
        <v>Cf-213</v>
      </c>
      <c r="E86">
        <v>213</v>
      </c>
      <c r="F86" t="s">
        <v>493</v>
      </c>
      <c r="G86">
        <v>0</v>
      </c>
      <c r="I86" s="2" t="s">
        <v>9</v>
      </c>
      <c r="J86" s="2" t="s">
        <v>3</v>
      </c>
      <c r="K86" s="20" t="str">
        <f>HYPERLINK("http://exon.niaid.nih.gov/transcriptome/C_felis/S2/links/Sigp/Cf-213-SigP.txt","CYT")</f>
        <v>CYT</v>
      </c>
      <c r="L86" s="2" t="s">
        <v>7</v>
      </c>
      <c r="M86" s="2">
        <v>8.25</v>
      </c>
      <c r="N86" s="2">
        <v>10.15</v>
      </c>
      <c r="O86" s="2" t="s">
        <v>7</v>
      </c>
      <c r="P86" s="2" t="s">
        <v>7</v>
      </c>
      <c r="Q86" s="24" t="s">
        <v>559</v>
      </c>
      <c r="R86" s="20">
        <v>0</v>
      </c>
      <c r="S86" s="2" t="s">
        <v>7</v>
      </c>
      <c r="T86" s="2" t="s">
        <v>7</v>
      </c>
      <c r="U86" s="2" t="s">
        <v>7</v>
      </c>
      <c r="V86" s="2" t="s">
        <v>7</v>
      </c>
      <c r="W86" s="2" t="s">
        <v>7</v>
      </c>
      <c r="X86" s="20" t="str">
        <f>HYPERLINK("http://exon.niaid.nih.gov/transcriptome/C_felis/S2/links/netoglyc/CF-213-netoglyc.txt","0")</f>
        <v>0</v>
      </c>
      <c r="Y86" s="2">
        <v>7.1</v>
      </c>
      <c r="Z86" s="2">
        <v>1.4</v>
      </c>
      <c r="AA86" s="2">
        <v>5.7</v>
      </c>
      <c r="AB86" t="s">
        <v>437</v>
      </c>
      <c r="AC86" t="s">
        <v>438</v>
      </c>
      <c r="AD86" t="s">
        <v>493</v>
      </c>
      <c r="AE86" s="2">
        <v>3</v>
      </c>
      <c r="AF86" s="4" t="str">
        <f>HYPERLINK("http://exon.niaid.nih.gov/transcriptome/C_felis/S2/links/NR/Cf-213-NR.txt","ribosomal protein L38")</f>
        <v>ribosomal protein L38</v>
      </c>
      <c r="AG86" t="str">
        <f>HYPERLINK("http://www.ncbi.nlm.nih.gov/sutils/blink.cgi?pid=344190581","4E-031")</f>
        <v>4E-031</v>
      </c>
      <c r="AH86" t="str">
        <f>HYPERLINK("http://www.ncbi.nlm.nih.gov/protein/344190581","gi|344190581")</f>
        <v>gi|344190581</v>
      </c>
      <c r="AI86">
        <v>137</v>
      </c>
      <c r="AJ86">
        <v>68</v>
      </c>
      <c r="AK86">
        <v>69</v>
      </c>
      <c r="AL86">
        <v>100</v>
      </c>
      <c r="AM86">
        <v>100</v>
      </c>
      <c r="AN86" t="s">
        <v>277</v>
      </c>
      <c r="AO86" s="4" t="str">
        <f>HYPERLINK("http://exon.niaid.nih.gov/transcriptome/C_felis/S2/links/SWISSP/Cf-213-SWISSP.txt","60S ribosomal protein L38")</f>
        <v>60S ribosomal protein L38</v>
      </c>
      <c r="AP86" t="str">
        <f>HYPERLINK("http://www.uniprot.org/uniprot/Q6F450","2E-032")</f>
        <v>2E-032</v>
      </c>
      <c r="AQ86" t="s">
        <v>278</v>
      </c>
      <c r="AR86">
        <v>137</v>
      </c>
      <c r="AS86">
        <v>69</v>
      </c>
      <c r="AT86">
        <v>70</v>
      </c>
      <c r="AU86">
        <v>97</v>
      </c>
      <c r="AV86">
        <v>100</v>
      </c>
      <c r="AW86" t="s">
        <v>279</v>
      </c>
      <c r="AX86" s="4" t="s">
        <v>280</v>
      </c>
      <c r="AY86">
        <f>HYPERLINK("http://exon.niaid.nih.gov/transcriptome/C_felis/S2/links/GO/Cf-213-GO.txt",2E-29)</f>
        <v>1.9999999999999999E-29</v>
      </c>
      <c r="AZ86" t="str">
        <f t="shared" si="30"/>
        <v>GO:0003735</v>
      </c>
      <c r="BA86" t="s">
        <v>53</v>
      </c>
      <c r="BB86" t="s">
        <v>54</v>
      </c>
      <c r="BC86" t="s">
        <v>55</v>
      </c>
      <c r="BD86" t="s">
        <v>7</v>
      </c>
      <c r="BF86" s="5">
        <v>1.9999999999999999E-29</v>
      </c>
      <c r="BG86" t="str">
        <f>HYPERLINK("http://amigo.geneontology.org/cgi-bin/amigo/term_details?term=GO:0005622","GO:0005622")</f>
        <v>GO:0005622</v>
      </c>
      <c r="BH86" t="s">
        <v>128</v>
      </c>
      <c r="BI86" t="s">
        <v>129</v>
      </c>
      <c r="BJ86" t="s">
        <v>130</v>
      </c>
      <c r="BK86" t="s">
        <v>7</v>
      </c>
      <c r="BM86" s="5">
        <v>1.9999999999999999E-29</v>
      </c>
      <c r="BN86" t="str">
        <f t="shared" si="31"/>
        <v>GO:0006412</v>
      </c>
      <c r="BO86" t="s">
        <v>59</v>
      </c>
      <c r="BP86" t="s">
        <v>60</v>
      </c>
      <c r="BQ86" t="s">
        <v>61</v>
      </c>
      <c r="BR86" t="s">
        <v>7</v>
      </c>
      <c r="BT86" s="5">
        <v>1.9999999999999999E-29</v>
      </c>
      <c r="BU86" s="4" t="str">
        <f>HYPERLINK("http://exon.niaid.nih.gov/transcriptome/C_felis/S2/links/KOG/Cf-213-KOG.txt","60S ribosomal protein L38")</f>
        <v>60S ribosomal protein L38</v>
      </c>
      <c r="BV86" t="str">
        <f>HYPERLINK("http://www.ncbi.nlm.nih.gov/COG/grace/shokog.cgi?KOG3499","8E-021")</f>
        <v>8E-021</v>
      </c>
      <c r="BW86" t="s">
        <v>62</v>
      </c>
      <c r="BX86" t="str">
        <f>HYPERLINK("http://exon.niaid.nih.gov/transcriptome/C_felis/S2/links/KOG/Cf-213-KOG.txt","KOG3499")</f>
        <v>KOG3499</v>
      </c>
      <c r="BY86" s="4" t="str">
        <f>HYPERLINK("http://exon.niaid.nih.gov/transcriptome/C_felis/S2/links/CDD/Cf-213-CDD.txt","Ribosomal_L38e")</f>
        <v>Ribosomal_L38e</v>
      </c>
      <c r="BZ86" t="str">
        <f>HYPERLINK("http://www.ncbi.nlm.nih.gov/Structure/cdd/cddsrv.cgi?uid=pfam01781&amp;version=v4.0","3E-020")</f>
        <v>3E-020</v>
      </c>
      <c r="CA86" t="s">
        <v>281</v>
      </c>
      <c r="CB86" s="4" t="str">
        <f>HYPERLINK("http://exon.niaid.nih.gov/transcriptome/C_felis/S2/links/PFAM/Cf-213-PFAM.txt","Ribosomal_L38e")</f>
        <v>Ribosomal_L38e</v>
      </c>
      <c r="CC86" t="str">
        <f>HYPERLINK("http://pfam.sanger.ac.uk/family?acc=PF01781","6E-021")</f>
        <v>6E-021</v>
      </c>
      <c r="CD86" s="4" t="str">
        <f>HYPERLINK("http://exon.niaid.nih.gov/transcriptome/C_felis/S2/links/SMART/Cf-213-SMART.txt","DWB")</f>
        <v>DWB</v>
      </c>
      <c r="CE86" t="str">
        <f>HYPERLINK("http://smart.embl-heidelberg.de/smart/do_annotation.pl?DOMAIN=DWB&amp;BLAST=DUMMY","0.086")</f>
        <v>0.086</v>
      </c>
      <c r="CF86" s="4" t="s">
        <v>7</v>
      </c>
      <c r="CG86" t="s">
        <v>7</v>
      </c>
      <c r="CH86" t="s">
        <v>7</v>
      </c>
      <c r="CI86" t="s">
        <v>7</v>
      </c>
      <c r="CJ86" t="s">
        <v>7</v>
      </c>
      <c r="CK86" s="7">
        <v>53</v>
      </c>
      <c r="CL86" s="2">
        <v>1</v>
      </c>
      <c r="CM86" s="7">
        <v>53</v>
      </c>
      <c r="CN86" s="2">
        <v>1</v>
      </c>
      <c r="CO86" s="7">
        <v>53</v>
      </c>
      <c r="CP86" s="2">
        <v>1</v>
      </c>
      <c r="CQ86" s="7">
        <v>40</v>
      </c>
      <c r="CR86" s="2">
        <v>1</v>
      </c>
      <c r="CS86" s="7">
        <v>45</v>
      </c>
      <c r="CT86" s="2">
        <v>1</v>
      </c>
      <c r="CU86" s="7">
        <v>52</v>
      </c>
      <c r="CV86" s="2">
        <v>1</v>
      </c>
      <c r="CW86" s="7">
        <v>51</v>
      </c>
      <c r="CX86" s="2">
        <v>1</v>
      </c>
      <c r="CY86" s="7">
        <v>54</v>
      </c>
      <c r="CZ86" s="2">
        <v>1</v>
      </c>
      <c r="DA86" s="7">
        <v>56</v>
      </c>
      <c r="DB86" s="2">
        <v>1</v>
      </c>
      <c r="DC86" s="7">
        <v>57</v>
      </c>
      <c r="DD86" s="2">
        <v>1</v>
      </c>
      <c r="DE86" s="7">
        <v>56</v>
      </c>
      <c r="DF86" s="2">
        <v>1</v>
      </c>
      <c r="DG86" s="7">
        <v>56</v>
      </c>
      <c r="DH86" s="2">
        <v>1</v>
      </c>
      <c r="DI86" s="7">
        <v>57</v>
      </c>
      <c r="DJ86" s="2">
        <v>1</v>
      </c>
      <c r="DK86" s="7">
        <v>57</v>
      </c>
      <c r="DL86" s="2">
        <v>1</v>
      </c>
      <c r="DM86" s="7">
        <v>59</v>
      </c>
      <c r="DN86" s="2">
        <v>1</v>
      </c>
      <c r="DO86" s="7">
        <v>58</v>
      </c>
      <c r="DP86" s="2">
        <v>1</v>
      </c>
      <c r="DQ86" s="7">
        <v>58</v>
      </c>
      <c r="DR86" s="2">
        <v>1</v>
      </c>
      <c r="DS86" s="7">
        <v>59</v>
      </c>
      <c r="DT86" s="2">
        <v>1</v>
      </c>
    </row>
    <row r="87" spans="1:124" x14ac:dyDescent="0.2">
      <c r="A87" t="str">
        <f>HYPERLINK("http://exon.niaid.nih.gov/transcriptome/C_felis/S2/links/pep/Cf-595-pep.txt","Cf-595")</f>
        <v>Cf-595</v>
      </c>
      <c r="B87" s="2">
        <v>1</v>
      </c>
      <c r="C87">
        <v>96</v>
      </c>
      <c r="D87" t="str">
        <f>HYPERLINK("http://exon.niaid.nih.gov/transcriptome/C_felis/S2/links/cds/Cf-595-cds.txt","Cf-595")</f>
        <v>Cf-595</v>
      </c>
      <c r="E87">
        <v>291</v>
      </c>
      <c r="F87" t="s">
        <v>511</v>
      </c>
      <c r="G87">
        <v>0</v>
      </c>
      <c r="I87" s="2" t="s">
        <v>12</v>
      </c>
      <c r="J87" s="2" t="s">
        <v>3</v>
      </c>
      <c r="K87" s="20" t="str">
        <f>HYPERLINK("http://exon.niaid.nih.gov/transcriptome/C_felis/S2/links/Sigp/Cf-595-SigP.txt","CYT")</f>
        <v>CYT</v>
      </c>
      <c r="L87" s="2" t="s">
        <v>7</v>
      </c>
      <c r="M87" s="2">
        <v>11.718</v>
      </c>
      <c r="N87" s="2">
        <v>10.88</v>
      </c>
      <c r="O87" s="2" t="s">
        <v>7</v>
      </c>
      <c r="P87" s="2" t="s">
        <v>7</v>
      </c>
      <c r="Q87" s="24" t="s">
        <v>556</v>
      </c>
      <c r="R87" s="20">
        <v>0</v>
      </c>
      <c r="S87" s="2" t="s">
        <v>7</v>
      </c>
      <c r="T87" s="2" t="s">
        <v>7</v>
      </c>
      <c r="U87" s="2" t="s">
        <v>7</v>
      </c>
      <c r="V87" s="2" t="s">
        <v>7</v>
      </c>
      <c r="W87" s="2" t="s">
        <v>7</v>
      </c>
      <c r="X87" s="20" t="str">
        <f>HYPERLINK("http://exon.niaid.nih.gov/transcriptome/C_felis/S2/links/netoglyc/CF-595-netoglyc.txt","0")</f>
        <v>0</v>
      </c>
      <c r="Y87" s="2">
        <v>7.3</v>
      </c>
      <c r="Z87" s="2">
        <v>3.1</v>
      </c>
      <c r="AA87" s="2">
        <v>5.2</v>
      </c>
      <c r="AB87" t="s">
        <v>437</v>
      </c>
      <c r="AC87" t="s">
        <v>438</v>
      </c>
      <c r="AD87" t="s">
        <v>511</v>
      </c>
      <c r="AE87" s="2">
        <v>1</v>
      </c>
      <c r="AF87" s="4" t="str">
        <f>HYPERLINK("http://exon.niaid.nih.gov/transcriptome/C_felis/S2/links/NR/Cf-595-NR.txt","ribosomal protein L27e")</f>
        <v>ribosomal protein L27e</v>
      </c>
      <c r="AG87" t="str">
        <f>HYPERLINK("http://www.ncbi.nlm.nih.gov/sutils/blink.cgi?pid=70909807","2E-045")</f>
        <v>2E-045</v>
      </c>
      <c r="AH87" t="str">
        <f>HYPERLINK("http://www.ncbi.nlm.nih.gov/protein/70909807","gi|70909807")</f>
        <v>gi|70909807</v>
      </c>
      <c r="AI87">
        <v>185</v>
      </c>
      <c r="AJ87">
        <v>95</v>
      </c>
      <c r="AK87">
        <v>135</v>
      </c>
      <c r="AL87">
        <v>88</v>
      </c>
      <c r="AM87">
        <v>71</v>
      </c>
      <c r="AN87" t="s">
        <v>376</v>
      </c>
      <c r="AO87" s="4" t="str">
        <f>HYPERLINK("http://exon.niaid.nih.gov/transcriptome/C_felis/S2/links/SWISSP/Cf-595-SWISSP.txt","60S ribosomal protein L27")</f>
        <v>60S ribosomal protein L27</v>
      </c>
      <c r="AP87" t="str">
        <f>HYPERLINK("http://www.uniprot.org/uniprot/Q7ZV82","6E-033")</f>
        <v>6E-033</v>
      </c>
      <c r="AQ87" t="s">
        <v>377</v>
      </c>
      <c r="AR87">
        <v>139</v>
      </c>
      <c r="AS87">
        <v>96</v>
      </c>
      <c r="AT87">
        <v>136</v>
      </c>
      <c r="AU87">
        <v>69</v>
      </c>
      <c r="AV87">
        <v>71</v>
      </c>
      <c r="AW87" t="s">
        <v>320</v>
      </c>
      <c r="AX87" s="4" t="s">
        <v>378</v>
      </c>
      <c r="AY87">
        <f>HYPERLINK("http://exon.niaid.nih.gov/transcriptome/C_felis/S2/links/GO/Cf-595-GO.txt",3E-36)</f>
        <v>3.0000000000000002E-36</v>
      </c>
      <c r="AZ87" t="str">
        <f t="shared" si="30"/>
        <v>GO:0003735</v>
      </c>
      <c r="BA87" t="s">
        <v>53</v>
      </c>
      <c r="BB87" t="s">
        <v>54</v>
      </c>
      <c r="BC87" t="s">
        <v>55</v>
      </c>
      <c r="BD87" t="s">
        <v>7</v>
      </c>
      <c r="BF87" s="5">
        <v>3.0000000000000002E-36</v>
      </c>
      <c r="BG87" t="str">
        <f>HYPERLINK("http://amigo.geneontology.org/cgi-bin/amigo/term_details?term=GO:0022625","GO:0022625")</f>
        <v>GO:0022625</v>
      </c>
      <c r="BH87" t="s">
        <v>56</v>
      </c>
      <c r="BI87" t="s">
        <v>57</v>
      </c>
      <c r="BJ87" t="s">
        <v>58</v>
      </c>
      <c r="BK87" t="s">
        <v>7</v>
      </c>
      <c r="BM87" s="5">
        <v>3.0000000000000002E-36</v>
      </c>
      <c r="BN87" t="str">
        <f t="shared" si="31"/>
        <v>GO:0006412</v>
      </c>
      <c r="BO87" t="s">
        <v>59</v>
      </c>
      <c r="BP87" t="s">
        <v>60</v>
      </c>
      <c r="BQ87" t="s">
        <v>61</v>
      </c>
      <c r="BR87" t="s">
        <v>7</v>
      </c>
      <c r="BT87" s="5">
        <v>3.0000000000000002E-36</v>
      </c>
      <c r="BU87" s="4" t="str">
        <f>HYPERLINK("http://exon.niaid.nih.gov/transcriptome/C_felis/S2/links/KOG/Cf-595-KOG.txt","60S ribosomal protein L27")</f>
        <v>60S ribosomal protein L27</v>
      </c>
      <c r="BV87" t="str">
        <f>HYPERLINK("http://www.ncbi.nlm.nih.gov/COG/grace/shokog.cgi?KOG3418","2E-026")</f>
        <v>2E-026</v>
      </c>
      <c r="BW87" t="s">
        <v>62</v>
      </c>
      <c r="BX87" t="str">
        <f>HYPERLINK("http://exon.niaid.nih.gov/transcriptome/C_felis/S2/links/KOG/Cf-595-KOG.txt","KOG3418")</f>
        <v>KOG3418</v>
      </c>
      <c r="BY87" s="4" t="str">
        <f>HYPERLINK("http://exon.niaid.nih.gov/transcriptome/C_felis/S2/links/CDD/Cf-595-CDD.txt","Ribosomal_L27e")</f>
        <v>Ribosomal_L27e</v>
      </c>
      <c r="BZ87" t="str">
        <f>HYPERLINK("http://www.ncbi.nlm.nih.gov/Structure/cdd/cddsrv.cgi?uid=pfam01777&amp;version=v4.0","2E-028")</f>
        <v>2E-028</v>
      </c>
      <c r="CA87" t="s">
        <v>379</v>
      </c>
      <c r="CB87" s="4" t="str">
        <f>HYPERLINK("http://exon.niaid.nih.gov/transcriptome/C_felis/S2/links/PFAM/Cf-595-PFAM.txt","Ribosomal_L27e")</f>
        <v>Ribosomal_L27e</v>
      </c>
      <c r="CC87" t="str">
        <f>HYPERLINK("http://pfam.sanger.ac.uk/family?acc=PF01777","3E-029")</f>
        <v>3E-029</v>
      </c>
      <c r="CD87" s="4" t="str">
        <f>HYPERLINK("http://exon.niaid.nih.gov/transcriptome/C_felis/S2/links/SMART/Cf-595-SMART.txt","MYSc")</f>
        <v>MYSc</v>
      </c>
      <c r="CE87" t="str">
        <f>HYPERLINK("http://smart.embl-heidelberg.de/smart/do_annotation.pl?DOMAIN=MYSc&amp;BLAST=DUMMY","0.38")</f>
        <v>0.38</v>
      </c>
      <c r="CF87" s="4" t="s">
        <v>7</v>
      </c>
      <c r="CG87" t="s">
        <v>7</v>
      </c>
      <c r="CH87" t="s">
        <v>7</v>
      </c>
      <c r="CI87" t="s">
        <v>7</v>
      </c>
      <c r="CJ87" t="s">
        <v>7</v>
      </c>
      <c r="CK87" s="7">
        <f>HYPERLINK("http://exon.niaid.nih.gov/transcriptome/C_felis/S2/links/cluster/cf-pep95-2-Id-CLU17.txt", 17)</f>
        <v>17</v>
      </c>
      <c r="CL87" s="2">
        <f>HYPERLINK("http://exon.niaid.nih.gov/transcriptome/C_felis/S2/links/cluster/cf-pep95-2-Id-CLTL17.txt", 2)</f>
        <v>2</v>
      </c>
      <c r="CM87" s="7">
        <f>HYPERLINK("http://exon.niaid.nih.gov/transcriptome/C_felis/S2/links/cluster/cf-pep100-3-Id-CLU17.txt", 17)</f>
        <v>17</v>
      </c>
      <c r="CN87" s="2">
        <f>HYPERLINK("http://exon.niaid.nih.gov/transcriptome/C_felis/S2/links/cluster/cf-pep100-3-Id-CLTL17.txt", 2)</f>
        <v>2</v>
      </c>
      <c r="CO87" s="7">
        <f>HYPERLINK("http://exon.niaid.nih.gov/transcriptome/C_felis/S2/links/cluster/cf-pep100-4-Id-CLU17.txt", 17)</f>
        <v>17</v>
      </c>
      <c r="CP87" s="2">
        <f>HYPERLINK("http://exon.niaid.nih.gov/transcriptome/C_felis/S2/links/cluster/cf-pep100-4-Id-CLTL17.txt", 2)</f>
        <v>2</v>
      </c>
      <c r="CQ87" s="7">
        <f>HYPERLINK("http://exon.niaid.nih.gov/transcriptome/C_felis/S2/links/cluster/cf-pep25-50-Sim-CLU8.txt", 8)</f>
        <v>8</v>
      </c>
      <c r="CR87" s="2">
        <f>HYPERLINK("http://exon.niaid.nih.gov/transcriptome/C_felis/S2/links/cluster/cf-pep25-50-Sim-CLTL8.txt", 3)</f>
        <v>3</v>
      </c>
      <c r="CS87" s="7">
        <f>HYPERLINK("http://exon.niaid.nih.gov/transcriptome/C_felis/S2/links/cluster/cf-pep30-50-Sim-CLU17.txt", 17)</f>
        <v>17</v>
      </c>
      <c r="CT87" s="2">
        <f>HYPERLINK("http://exon.niaid.nih.gov/transcriptome/C_felis/S2/links/cluster/cf-pep30-50-Sim-CLTL17.txt", 2)</f>
        <v>2</v>
      </c>
      <c r="CU87" s="7">
        <f>HYPERLINK("http://exon.niaid.nih.gov/transcriptome/C_felis/S2/links/cluster/cf-pep35-50-Sim-CLU19.txt", 19)</f>
        <v>19</v>
      </c>
      <c r="CV87" s="2">
        <f>HYPERLINK("http://exon.niaid.nih.gov/transcriptome/C_felis/S2/links/cluster/cf-pep35-50-Sim-CLTL19.txt", 2)</f>
        <v>2</v>
      </c>
      <c r="CW87" s="7">
        <f>HYPERLINK("http://exon.niaid.nih.gov/transcriptome/C_felis/S2/links/cluster/cf-pep40-50-Sim-CLU16.txt", 16)</f>
        <v>16</v>
      </c>
      <c r="CX87" s="2">
        <f>HYPERLINK("http://exon.niaid.nih.gov/transcriptome/C_felis/S2/links/cluster/cf-pep40-50-Sim-CLTL16.txt", 2)</f>
        <v>2</v>
      </c>
      <c r="CY87" s="7">
        <f>HYPERLINK("http://exon.niaid.nih.gov/transcriptome/C_felis/S2/links/cluster/cf-pep45-50-Sim-CLU18.txt", 18)</f>
        <v>18</v>
      </c>
      <c r="CZ87" s="2">
        <f>HYPERLINK("http://exon.niaid.nih.gov/transcriptome/C_felis/S2/links/cluster/cf-pep45-50-Sim-CLTL18.txt", 2)</f>
        <v>2</v>
      </c>
      <c r="DA87" s="7">
        <f>HYPERLINK("http://exon.niaid.nih.gov/transcriptome/C_felis/S2/links/cluster/cf-pep50-50-Sim-CLU19.txt", 19)</f>
        <v>19</v>
      </c>
      <c r="DB87" s="2">
        <f>HYPERLINK("http://exon.niaid.nih.gov/transcriptome/C_felis/S2/links/cluster/cf-pep50-50-Sim-CLTL19.txt", 2)</f>
        <v>2</v>
      </c>
      <c r="DC87" s="7">
        <f>HYPERLINK("http://exon.niaid.nih.gov/transcriptome/C_felis/S2/links/cluster/cf-pep55-50-Sim-CLU18.txt", 18)</f>
        <v>18</v>
      </c>
      <c r="DD87" s="2">
        <f>HYPERLINK("http://exon.niaid.nih.gov/transcriptome/C_felis/S2/links/cluster/cf-pep55-50-Sim-CLTL18.txt", 2)</f>
        <v>2</v>
      </c>
      <c r="DE87" s="7">
        <f>HYPERLINK("http://exon.niaid.nih.gov/transcriptome/C_felis/S2/links/cluster/cf-pep60-50-Sim-CLU17.txt", 17)</f>
        <v>17</v>
      </c>
      <c r="DF87" s="2">
        <f>HYPERLINK("http://exon.niaid.nih.gov/transcriptome/C_felis/S2/links/cluster/cf-pep60-50-Sim-CLTL17.txt", 2)</f>
        <v>2</v>
      </c>
      <c r="DG87" s="7">
        <f>HYPERLINK("http://exon.niaid.nih.gov/transcriptome/C_felis/S2/links/cluster/cf-pep65-50-Sim-CLU14.txt", 14)</f>
        <v>14</v>
      </c>
      <c r="DH87" s="2">
        <f>HYPERLINK("http://exon.niaid.nih.gov/transcriptome/C_felis/S2/links/cluster/cf-pep65-50-Sim-CLTL14.txt", 2)</f>
        <v>2</v>
      </c>
      <c r="DI87" s="7">
        <f>HYPERLINK("http://exon.niaid.nih.gov/transcriptome/C_felis/S2/links/cluster/cf-pep70-50-Sim-CLU14.txt", 14)</f>
        <v>14</v>
      </c>
      <c r="DJ87" s="2">
        <f>HYPERLINK("http://exon.niaid.nih.gov/transcriptome/C_felis/S2/links/cluster/cf-pep70-50-Sim-CLTL14.txt", 2)</f>
        <v>2</v>
      </c>
      <c r="DK87" s="7">
        <f>HYPERLINK("http://exon.niaid.nih.gov/transcriptome/C_felis/S2/links/cluster/cf-pep75-50-Sim-CLU12.txt", 12)</f>
        <v>12</v>
      </c>
      <c r="DL87" s="2">
        <f>HYPERLINK("http://exon.niaid.nih.gov/transcriptome/C_felis/S2/links/cluster/cf-pep75-50-Sim-CLTL12.txt", 2)</f>
        <v>2</v>
      </c>
      <c r="DM87" s="7">
        <f>HYPERLINK("http://exon.niaid.nih.gov/transcriptome/C_felis/S2/links/cluster/cf-pep80-50-Sim-CLU11.txt", 11)</f>
        <v>11</v>
      </c>
      <c r="DN87" s="2">
        <f>HYPERLINK("http://exon.niaid.nih.gov/transcriptome/C_felis/S2/links/cluster/cf-pep80-50-Sim-CLTL11.txt", 2)</f>
        <v>2</v>
      </c>
      <c r="DO87" s="7">
        <v>149</v>
      </c>
      <c r="DP87" s="2">
        <v>1</v>
      </c>
      <c r="DQ87" s="7">
        <v>151</v>
      </c>
      <c r="DR87" s="2">
        <v>1</v>
      </c>
      <c r="DS87" s="7">
        <v>153</v>
      </c>
      <c r="DT87" s="2">
        <v>1</v>
      </c>
    </row>
    <row r="88" spans="1:124" x14ac:dyDescent="0.2">
      <c r="A88" t="str">
        <f>HYPERLINK("http://exon.niaid.nih.gov/transcriptome/C_felis/S2/links/pep/Cf-780-pep.txt","Cf-780")</f>
        <v>Cf-780</v>
      </c>
      <c r="B88" s="2">
        <v>1</v>
      </c>
      <c r="C88">
        <v>118</v>
      </c>
      <c r="D88" t="str">
        <f>HYPERLINK("http://exon.niaid.nih.gov/transcriptome/C_felis/S2/links/cds/Cf-780-cds.txt","Cf-780")</f>
        <v>Cf-780</v>
      </c>
      <c r="E88">
        <v>357</v>
      </c>
      <c r="F88" t="s">
        <v>511</v>
      </c>
      <c r="G88">
        <v>0</v>
      </c>
      <c r="I88" s="2" t="s">
        <v>5</v>
      </c>
      <c r="J88" s="2" t="s">
        <v>3</v>
      </c>
      <c r="K88" s="20" t="str">
        <f>HYPERLINK("http://exon.niaid.nih.gov/transcriptome/C_felis/S2/links/Sigp/Cf-780-SigP.txt","CYT")</f>
        <v>CYT</v>
      </c>
      <c r="L88" s="2" t="s">
        <v>7</v>
      </c>
      <c r="M88" s="2">
        <v>14.13</v>
      </c>
      <c r="N88" s="2">
        <v>10.67</v>
      </c>
      <c r="O88" s="2" t="s">
        <v>7</v>
      </c>
      <c r="P88" s="2" t="s">
        <v>7</v>
      </c>
      <c r="Q88" s="24" t="s">
        <v>559</v>
      </c>
      <c r="R88" s="20">
        <v>0</v>
      </c>
      <c r="S88" s="2" t="s">
        <v>7</v>
      </c>
      <c r="T88" s="2" t="s">
        <v>7</v>
      </c>
      <c r="U88" s="2" t="s">
        <v>7</v>
      </c>
      <c r="V88" s="2" t="s">
        <v>7</v>
      </c>
      <c r="W88" s="2" t="s">
        <v>7</v>
      </c>
      <c r="X88" s="20" t="str">
        <f>HYPERLINK("http://exon.niaid.nih.gov/transcriptome/C_felis/S2/links/netoglyc/CF-780-netoglyc.txt","0")</f>
        <v>0</v>
      </c>
      <c r="Y88" s="2">
        <v>8.5</v>
      </c>
      <c r="Z88" s="2">
        <v>5.9</v>
      </c>
      <c r="AA88" s="2">
        <v>4.2</v>
      </c>
      <c r="AB88" t="s">
        <v>437</v>
      </c>
      <c r="AC88" t="s">
        <v>438</v>
      </c>
      <c r="AD88" t="s">
        <v>511</v>
      </c>
      <c r="AE88" s="2">
        <v>1</v>
      </c>
      <c r="AF88" s="4" t="str">
        <f>HYPERLINK("http://exon.niaid.nih.gov/transcriptome/C_felis/S2/links/NR/Cf-780-NR.txt","ribosomal protein L27e")</f>
        <v>ribosomal protein L27e</v>
      </c>
      <c r="AG88" t="str">
        <f>HYPERLINK("http://www.ncbi.nlm.nih.gov/sutils/blink.cgi?pid=70909807","3E-055")</f>
        <v>3E-055</v>
      </c>
      <c r="AH88" t="str">
        <f>HYPERLINK("http://www.ncbi.nlm.nih.gov/protein/70909807","gi|70909807")</f>
        <v>gi|70909807</v>
      </c>
      <c r="AI88">
        <v>218</v>
      </c>
      <c r="AJ88">
        <v>115</v>
      </c>
      <c r="AK88">
        <v>135</v>
      </c>
      <c r="AL88">
        <v>87</v>
      </c>
      <c r="AM88">
        <v>86</v>
      </c>
      <c r="AN88" t="s">
        <v>376</v>
      </c>
      <c r="AO88" s="4" t="str">
        <f>HYPERLINK("http://exon.niaid.nih.gov/transcriptome/C_felis/S2/links/SWISSP/Cf-780-SWISSP.txt","60S ribosomal protein L27")</f>
        <v>60S ribosomal protein L27</v>
      </c>
      <c r="AP88" t="str">
        <f>HYPERLINK("http://www.uniprot.org/uniprot/P61354","7E-041")</f>
        <v>7E-041</v>
      </c>
      <c r="AQ88" t="s">
        <v>402</v>
      </c>
      <c r="AR88">
        <v>165</v>
      </c>
      <c r="AS88">
        <v>116</v>
      </c>
      <c r="AT88">
        <v>136</v>
      </c>
      <c r="AU88">
        <v>66</v>
      </c>
      <c r="AV88">
        <v>86</v>
      </c>
      <c r="AW88" t="s">
        <v>65</v>
      </c>
      <c r="AX88" s="4" t="s">
        <v>378</v>
      </c>
      <c r="AY88">
        <f>HYPERLINK("http://exon.niaid.nih.gov/transcriptome/C_felis/S2/links/GO/Cf-780-GO.txt",6E-44)</f>
        <v>6.0000000000000005E-44</v>
      </c>
      <c r="AZ88" t="str">
        <f t="shared" si="30"/>
        <v>GO:0003735</v>
      </c>
      <c r="BA88" t="s">
        <v>53</v>
      </c>
      <c r="BB88" t="s">
        <v>54</v>
      </c>
      <c r="BC88" t="s">
        <v>55</v>
      </c>
      <c r="BD88" t="s">
        <v>7</v>
      </c>
      <c r="BF88" s="5">
        <v>6.0000000000000005E-44</v>
      </c>
      <c r="BG88" t="str">
        <f>HYPERLINK("http://amigo.geneontology.org/cgi-bin/amigo/term_details?term=GO:0022625","GO:0022625")</f>
        <v>GO:0022625</v>
      </c>
      <c r="BH88" t="s">
        <v>56</v>
      </c>
      <c r="BI88" t="s">
        <v>57</v>
      </c>
      <c r="BJ88" t="s">
        <v>58</v>
      </c>
      <c r="BK88" t="s">
        <v>7</v>
      </c>
      <c r="BM88" s="5">
        <v>6.0000000000000005E-44</v>
      </c>
      <c r="BN88" t="str">
        <f t="shared" si="31"/>
        <v>GO:0006412</v>
      </c>
      <c r="BO88" t="s">
        <v>59</v>
      </c>
      <c r="BP88" t="s">
        <v>60</v>
      </c>
      <c r="BQ88" t="s">
        <v>61</v>
      </c>
      <c r="BR88" t="s">
        <v>7</v>
      </c>
      <c r="BT88" s="5">
        <v>6.0000000000000005E-44</v>
      </c>
      <c r="BU88" s="4" t="str">
        <f>HYPERLINK("http://exon.niaid.nih.gov/transcriptome/C_felis/S2/links/KOG/Cf-780-KOG.txt","60S ribosomal protein L27")</f>
        <v>60S ribosomal protein L27</v>
      </c>
      <c r="BV88" t="str">
        <f>HYPERLINK("http://www.ncbi.nlm.nih.gov/COG/grace/shokog.cgi?KOG3418","1E-034")</f>
        <v>1E-034</v>
      </c>
      <c r="BW88" t="s">
        <v>62</v>
      </c>
      <c r="BX88" t="str">
        <f>HYPERLINK("http://exon.niaid.nih.gov/transcriptome/C_felis/S2/links/KOG/Cf-780-KOG.txt","KOG3418")</f>
        <v>KOG3418</v>
      </c>
      <c r="BY88" s="4" t="str">
        <f>HYPERLINK("http://exon.niaid.nih.gov/transcriptome/C_felis/S2/links/CDD/Cf-780-CDD.txt","Ribosomal_L27e")</f>
        <v>Ribosomal_L27e</v>
      </c>
      <c r="BZ88" t="str">
        <f>HYPERLINK("http://www.ncbi.nlm.nih.gov/Structure/cdd/cddsrv.cgi?uid=pfam01777&amp;version=v4.0","2E-030")</f>
        <v>2E-030</v>
      </c>
      <c r="CA88" t="s">
        <v>403</v>
      </c>
      <c r="CB88" s="4" t="str">
        <f>HYPERLINK("http://exon.niaid.nih.gov/transcriptome/C_felis/S2/links/PFAM/Cf-780-PFAM.txt","Ribosomal_L27e")</f>
        <v>Ribosomal_L27e</v>
      </c>
      <c r="CC88" t="str">
        <f>HYPERLINK("http://pfam.sanger.ac.uk/family?acc=PF01777","5E-031")</f>
        <v>5E-031</v>
      </c>
      <c r="CD88" s="4" t="str">
        <f>HYPERLINK("http://exon.niaid.nih.gov/transcriptome/C_felis/S2/links/SMART/Cf-780-SMART.txt","MYSc")</f>
        <v>MYSc</v>
      </c>
      <c r="CE88" t="str">
        <f>HYPERLINK("http://smart.embl-heidelberg.de/smart/do_annotation.pl?DOMAIN=MYSc&amp;BLAST=DUMMY","0.48")</f>
        <v>0.48</v>
      </c>
      <c r="CF88" s="4" t="s">
        <v>7</v>
      </c>
      <c r="CG88" t="s">
        <v>7</v>
      </c>
      <c r="CH88" t="s">
        <v>7</v>
      </c>
      <c r="CI88" t="s">
        <v>7</v>
      </c>
      <c r="CJ88" t="s">
        <v>7</v>
      </c>
      <c r="CK88" s="7">
        <f>HYPERLINK("http://exon.niaid.nih.gov/transcriptome/C_felis/S2/links/cluster/cf-pep95-2-Id-CLU17.txt", 17)</f>
        <v>17</v>
      </c>
      <c r="CL88" s="2">
        <f>HYPERLINK("http://exon.niaid.nih.gov/transcriptome/C_felis/S2/links/cluster/cf-pep95-2-Id-CLTL17.txt", 2)</f>
        <v>2</v>
      </c>
      <c r="CM88" s="7">
        <f>HYPERLINK("http://exon.niaid.nih.gov/transcriptome/C_felis/S2/links/cluster/cf-pep100-3-Id-CLU17.txt", 17)</f>
        <v>17</v>
      </c>
      <c r="CN88" s="2">
        <f>HYPERLINK("http://exon.niaid.nih.gov/transcriptome/C_felis/S2/links/cluster/cf-pep100-3-Id-CLTL17.txt", 2)</f>
        <v>2</v>
      </c>
      <c r="CO88" s="7">
        <f>HYPERLINK("http://exon.niaid.nih.gov/transcriptome/C_felis/S2/links/cluster/cf-pep100-4-Id-CLU17.txt", 17)</f>
        <v>17</v>
      </c>
      <c r="CP88" s="2">
        <f>HYPERLINK("http://exon.niaid.nih.gov/transcriptome/C_felis/S2/links/cluster/cf-pep100-4-Id-CLTL17.txt", 2)</f>
        <v>2</v>
      </c>
      <c r="CQ88" s="7">
        <f>HYPERLINK("http://exon.niaid.nih.gov/transcriptome/C_felis/S2/links/cluster/cf-pep25-50-Sim-CLU8.txt", 8)</f>
        <v>8</v>
      </c>
      <c r="CR88" s="2">
        <f>HYPERLINK("http://exon.niaid.nih.gov/transcriptome/C_felis/S2/links/cluster/cf-pep25-50-Sim-CLTL8.txt", 3)</f>
        <v>3</v>
      </c>
      <c r="CS88" s="7">
        <f>HYPERLINK("http://exon.niaid.nih.gov/transcriptome/C_felis/S2/links/cluster/cf-pep30-50-Sim-CLU17.txt", 17)</f>
        <v>17</v>
      </c>
      <c r="CT88" s="2">
        <f>HYPERLINK("http://exon.niaid.nih.gov/transcriptome/C_felis/S2/links/cluster/cf-pep30-50-Sim-CLTL17.txt", 2)</f>
        <v>2</v>
      </c>
      <c r="CU88" s="7">
        <f>HYPERLINK("http://exon.niaid.nih.gov/transcriptome/C_felis/S2/links/cluster/cf-pep35-50-Sim-CLU19.txt", 19)</f>
        <v>19</v>
      </c>
      <c r="CV88" s="2">
        <f>HYPERLINK("http://exon.niaid.nih.gov/transcriptome/C_felis/S2/links/cluster/cf-pep35-50-Sim-CLTL19.txt", 2)</f>
        <v>2</v>
      </c>
      <c r="CW88" s="7">
        <f>HYPERLINK("http://exon.niaid.nih.gov/transcriptome/C_felis/S2/links/cluster/cf-pep40-50-Sim-CLU16.txt", 16)</f>
        <v>16</v>
      </c>
      <c r="CX88" s="2">
        <f>HYPERLINK("http://exon.niaid.nih.gov/transcriptome/C_felis/S2/links/cluster/cf-pep40-50-Sim-CLTL16.txt", 2)</f>
        <v>2</v>
      </c>
      <c r="CY88" s="7">
        <f>HYPERLINK("http://exon.niaid.nih.gov/transcriptome/C_felis/S2/links/cluster/cf-pep45-50-Sim-CLU18.txt", 18)</f>
        <v>18</v>
      </c>
      <c r="CZ88" s="2">
        <f>HYPERLINK("http://exon.niaid.nih.gov/transcriptome/C_felis/S2/links/cluster/cf-pep45-50-Sim-CLTL18.txt", 2)</f>
        <v>2</v>
      </c>
      <c r="DA88" s="7">
        <f>HYPERLINK("http://exon.niaid.nih.gov/transcriptome/C_felis/S2/links/cluster/cf-pep50-50-Sim-CLU19.txt", 19)</f>
        <v>19</v>
      </c>
      <c r="DB88" s="2">
        <f>HYPERLINK("http://exon.niaid.nih.gov/transcriptome/C_felis/S2/links/cluster/cf-pep50-50-Sim-CLTL19.txt", 2)</f>
        <v>2</v>
      </c>
      <c r="DC88" s="7">
        <f>HYPERLINK("http://exon.niaid.nih.gov/transcriptome/C_felis/S2/links/cluster/cf-pep55-50-Sim-CLU18.txt", 18)</f>
        <v>18</v>
      </c>
      <c r="DD88" s="2">
        <f>HYPERLINK("http://exon.niaid.nih.gov/transcriptome/C_felis/S2/links/cluster/cf-pep55-50-Sim-CLTL18.txt", 2)</f>
        <v>2</v>
      </c>
      <c r="DE88" s="7">
        <f>HYPERLINK("http://exon.niaid.nih.gov/transcriptome/C_felis/S2/links/cluster/cf-pep60-50-Sim-CLU17.txt", 17)</f>
        <v>17</v>
      </c>
      <c r="DF88" s="2">
        <f>HYPERLINK("http://exon.niaid.nih.gov/transcriptome/C_felis/S2/links/cluster/cf-pep60-50-Sim-CLTL17.txt", 2)</f>
        <v>2</v>
      </c>
      <c r="DG88" s="7">
        <f>HYPERLINK("http://exon.niaid.nih.gov/transcriptome/C_felis/S2/links/cluster/cf-pep65-50-Sim-CLU14.txt", 14)</f>
        <v>14</v>
      </c>
      <c r="DH88" s="2">
        <f>HYPERLINK("http://exon.niaid.nih.gov/transcriptome/C_felis/S2/links/cluster/cf-pep65-50-Sim-CLTL14.txt", 2)</f>
        <v>2</v>
      </c>
      <c r="DI88" s="7">
        <f>HYPERLINK("http://exon.niaid.nih.gov/transcriptome/C_felis/S2/links/cluster/cf-pep70-50-Sim-CLU14.txt", 14)</f>
        <v>14</v>
      </c>
      <c r="DJ88" s="2">
        <f>HYPERLINK("http://exon.niaid.nih.gov/transcriptome/C_felis/S2/links/cluster/cf-pep70-50-Sim-CLTL14.txt", 2)</f>
        <v>2</v>
      </c>
      <c r="DK88" s="7">
        <f>HYPERLINK("http://exon.niaid.nih.gov/transcriptome/C_felis/S2/links/cluster/cf-pep75-50-Sim-CLU12.txt", 12)</f>
        <v>12</v>
      </c>
      <c r="DL88" s="2">
        <f>HYPERLINK("http://exon.niaid.nih.gov/transcriptome/C_felis/S2/links/cluster/cf-pep75-50-Sim-CLTL12.txt", 2)</f>
        <v>2</v>
      </c>
      <c r="DM88" s="7">
        <f>HYPERLINK("http://exon.niaid.nih.gov/transcriptome/C_felis/S2/links/cluster/cf-pep80-50-Sim-CLU11.txt", 11)</f>
        <v>11</v>
      </c>
      <c r="DN88" s="2">
        <f>HYPERLINK("http://exon.niaid.nih.gov/transcriptome/C_felis/S2/links/cluster/cf-pep80-50-Sim-CLTL11.txt", 2)</f>
        <v>2</v>
      </c>
      <c r="DO88" s="7">
        <v>186</v>
      </c>
      <c r="DP88" s="2">
        <v>1</v>
      </c>
      <c r="DQ88" s="7">
        <v>188</v>
      </c>
      <c r="DR88" s="2">
        <v>1</v>
      </c>
      <c r="DS88" s="7">
        <v>193</v>
      </c>
      <c r="DT88" s="2">
        <v>1</v>
      </c>
    </row>
    <row r="89" spans="1:124" x14ac:dyDescent="0.2">
      <c r="A89" t="str">
        <f>HYPERLINK("http://exon.niaid.nih.gov/transcriptome/C_felis/S2/links/pep/Cf-177-pep.txt","Cf-177")</f>
        <v>Cf-177</v>
      </c>
      <c r="B89" s="2">
        <v>4</v>
      </c>
      <c r="C89">
        <v>136</v>
      </c>
      <c r="D89" t="str">
        <f>HYPERLINK("http://exon.niaid.nih.gov/transcriptome/C_felis/S2/links/cds/Cf-177-cds.txt","Cf-177")</f>
        <v>Cf-177</v>
      </c>
      <c r="E89">
        <v>411</v>
      </c>
      <c r="F89" t="s">
        <v>480</v>
      </c>
      <c r="G89">
        <v>0</v>
      </c>
      <c r="I89" s="2" t="s">
        <v>9</v>
      </c>
      <c r="J89" s="2" t="s">
        <v>3</v>
      </c>
      <c r="K89" s="20" t="str">
        <f>HYPERLINK("http://exon.niaid.nih.gov/transcriptome/C_felis/S2/links/Sigp/Cf-177-SigP.txt","CYT")</f>
        <v>CYT</v>
      </c>
      <c r="L89" s="2" t="s">
        <v>7</v>
      </c>
      <c r="M89" s="2">
        <v>15.472</v>
      </c>
      <c r="N89" s="2">
        <v>11.48</v>
      </c>
      <c r="O89" s="2" t="s">
        <v>7</v>
      </c>
      <c r="P89" s="2" t="s">
        <v>7</v>
      </c>
      <c r="Q89" s="24" t="s">
        <v>556</v>
      </c>
      <c r="R89" s="20">
        <v>0</v>
      </c>
      <c r="S89" s="2" t="s">
        <v>7</v>
      </c>
      <c r="T89" s="2" t="s">
        <v>7</v>
      </c>
      <c r="U89" s="2" t="s">
        <v>7</v>
      </c>
      <c r="V89" s="2" t="s">
        <v>7</v>
      </c>
      <c r="W89" s="2" t="s">
        <v>7</v>
      </c>
      <c r="X89" s="20" t="str">
        <f>HYPERLINK("http://exon.niaid.nih.gov/transcriptome/C_felis/S2/links/netoglyc/CF-177-netoglyc.txt","0")</f>
        <v>0</v>
      </c>
      <c r="Y89" s="2">
        <v>13.2</v>
      </c>
      <c r="Z89" s="2">
        <v>4.4000000000000004</v>
      </c>
      <c r="AA89" s="2">
        <v>5.9</v>
      </c>
      <c r="AB89" t="s">
        <v>437</v>
      </c>
      <c r="AC89" t="s">
        <v>438</v>
      </c>
      <c r="AD89" t="s">
        <v>480</v>
      </c>
      <c r="AE89" s="2">
        <v>4</v>
      </c>
      <c r="AF89" s="4" t="str">
        <f>HYPERLINK("http://exon.niaid.nih.gov/transcriptome/C_felis/S2/links/NR/Cf-177-NR.txt","ribosomal protein L28e")</f>
        <v>ribosomal protein L28e</v>
      </c>
      <c r="AG89" t="str">
        <f>HYPERLINK("http://www.ncbi.nlm.nih.gov/sutils/blink.cgi?pid=70909829","2E-053")</f>
        <v>2E-053</v>
      </c>
      <c r="AH89" t="str">
        <f>HYPERLINK("http://www.ncbi.nlm.nih.gov/protein/70909829","gi|70909829")</f>
        <v>gi|70909829</v>
      </c>
      <c r="AI89">
        <v>212</v>
      </c>
      <c r="AJ89">
        <v>136</v>
      </c>
      <c r="AK89">
        <v>137</v>
      </c>
      <c r="AL89">
        <v>75</v>
      </c>
      <c r="AM89">
        <v>100</v>
      </c>
      <c r="AN89" t="s">
        <v>147</v>
      </c>
      <c r="AO89" s="4" t="str">
        <f>HYPERLINK("http://exon.niaid.nih.gov/transcriptome/C_felis/S2/links/SWISSP/Cf-177-SWISSP.txt","60S ribosomal protein L28")</f>
        <v>60S ribosomal protein L28</v>
      </c>
      <c r="AP89" t="str">
        <f>HYPERLINK("http://www.uniprot.org/uniprot/Q962T2","4E-044")</f>
        <v>4E-044</v>
      </c>
      <c r="AQ89" t="s">
        <v>230</v>
      </c>
      <c r="AR89">
        <v>176</v>
      </c>
      <c r="AS89">
        <v>129</v>
      </c>
      <c r="AT89">
        <v>139</v>
      </c>
      <c r="AU89">
        <v>65</v>
      </c>
      <c r="AV89">
        <v>94</v>
      </c>
      <c r="AW89" t="s">
        <v>68</v>
      </c>
      <c r="AX89" s="4" t="s">
        <v>231</v>
      </c>
      <c r="AY89">
        <f>HYPERLINK("http://exon.niaid.nih.gov/transcriptome/C_felis/S2/links/GO/Cf-177-GO.txt",5E-44)</f>
        <v>5.0000000000000004E-44</v>
      </c>
      <c r="AZ89" t="str">
        <f t="shared" si="30"/>
        <v>GO:0003735</v>
      </c>
      <c r="BA89" t="s">
        <v>53</v>
      </c>
      <c r="BB89" t="s">
        <v>54</v>
      </c>
      <c r="BC89" t="s">
        <v>55</v>
      </c>
      <c r="BD89" t="s">
        <v>7</v>
      </c>
      <c r="BF89" s="5">
        <v>5.0000000000000004E-44</v>
      </c>
      <c r="BG89" t="str">
        <f>HYPERLINK("http://amigo.geneontology.org/cgi-bin/amigo/term_details?term=GO:0022625","GO:0022625")</f>
        <v>GO:0022625</v>
      </c>
      <c r="BH89" t="s">
        <v>56</v>
      </c>
      <c r="BI89" t="s">
        <v>57</v>
      </c>
      <c r="BJ89" t="s">
        <v>58</v>
      </c>
      <c r="BK89" t="s">
        <v>7</v>
      </c>
      <c r="BM89" s="5">
        <v>5.0000000000000004E-44</v>
      </c>
      <c r="BN89" t="str">
        <f t="shared" si="31"/>
        <v>GO:0006412</v>
      </c>
      <c r="BO89" t="s">
        <v>59</v>
      </c>
      <c r="BP89" t="s">
        <v>60</v>
      </c>
      <c r="BQ89" t="s">
        <v>61</v>
      </c>
      <c r="BR89" t="s">
        <v>7</v>
      </c>
      <c r="BT89" s="5">
        <v>5.0000000000000004E-44</v>
      </c>
      <c r="BU89" s="4" t="str">
        <f>HYPERLINK("http://exon.niaid.nih.gov/transcriptome/C_felis/S2/links/KOG/Cf-177-KOG.txt","60S ribosomal protein L28")</f>
        <v>60S ribosomal protein L28</v>
      </c>
      <c r="BV89" t="str">
        <f>HYPERLINK("http://www.ncbi.nlm.nih.gov/COG/grace/shokog.cgi?KOG3412","2E-028")</f>
        <v>2E-028</v>
      </c>
      <c r="BW89" t="s">
        <v>62</v>
      </c>
      <c r="BX89" t="str">
        <f>HYPERLINK("http://exon.niaid.nih.gov/transcriptome/C_felis/S2/links/KOG/Cf-177-KOG.txt","KOG3412")</f>
        <v>KOG3412</v>
      </c>
      <c r="BY89" s="4" t="str">
        <f>HYPERLINK("http://exon.niaid.nih.gov/transcriptome/C_felis/S2/links/CDD/Cf-177-CDD.txt","Ribosomal_L28e")</f>
        <v>Ribosomal_L28e</v>
      </c>
      <c r="BZ89" t="str">
        <f>HYPERLINK("http://www.ncbi.nlm.nih.gov/Structure/cdd/cddsrv.cgi?uid=pfam01778&amp;version=v4.0","2E-025")</f>
        <v>2E-025</v>
      </c>
      <c r="CA89" t="s">
        <v>232</v>
      </c>
      <c r="CB89" s="4" t="str">
        <f>HYPERLINK("http://exon.niaid.nih.gov/transcriptome/C_felis/S2/links/PFAM/Cf-177-PFAM.txt","Ribosomal_L28e")</f>
        <v>Ribosomal_L28e</v>
      </c>
      <c r="CC89" t="str">
        <f>HYPERLINK("http://pfam.sanger.ac.uk/family?acc=PF01778","5E-026")</f>
        <v>5E-026</v>
      </c>
      <c r="CD89" s="4" t="str">
        <f>HYPERLINK("http://exon.niaid.nih.gov/transcriptome/C_felis/S2/links/SMART/Cf-177-SMART.txt","CHAD")</f>
        <v>CHAD</v>
      </c>
      <c r="CE89" t="str">
        <f>HYPERLINK("http://smart.embl-heidelberg.de/smart/do_annotation.pl?DOMAIN=CHAD&amp;BLAST=DUMMY","0.34")</f>
        <v>0.34</v>
      </c>
      <c r="CF89" s="4" t="s">
        <v>7</v>
      </c>
      <c r="CG89" t="s">
        <v>7</v>
      </c>
      <c r="CH89" t="s">
        <v>7</v>
      </c>
      <c r="CI89" t="s">
        <v>7</v>
      </c>
      <c r="CJ89" t="s">
        <v>7</v>
      </c>
      <c r="CK89" s="7">
        <v>39</v>
      </c>
      <c r="CL89" s="2">
        <v>1</v>
      </c>
      <c r="CM89" s="7">
        <v>39</v>
      </c>
      <c r="CN89" s="2">
        <v>1</v>
      </c>
      <c r="CO89" s="7">
        <v>39</v>
      </c>
      <c r="CP89" s="2">
        <v>1</v>
      </c>
      <c r="CQ89" s="7">
        <v>32</v>
      </c>
      <c r="CR89" s="2">
        <v>1</v>
      </c>
      <c r="CS89" s="7">
        <v>34</v>
      </c>
      <c r="CT89" s="2">
        <v>1</v>
      </c>
      <c r="CU89" s="7">
        <v>40</v>
      </c>
      <c r="CV89" s="2">
        <v>1</v>
      </c>
      <c r="CW89" s="7">
        <v>39</v>
      </c>
      <c r="CX89" s="2">
        <v>1</v>
      </c>
      <c r="CY89" s="7">
        <v>41</v>
      </c>
      <c r="CZ89" s="2">
        <v>1</v>
      </c>
      <c r="DA89" s="7">
        <v>42</v>
      </c>
      <c r="DB89" s="2">
        <v>1</v>
      </c>
      <c r="DC89" s="7">
        <v>41</v>
      </c>
      <c r="DD89" s="2">
        <v>1</v>
      </c>
      <c r="DE89" s="7">
        <v>40</v>
      </c>
      <c r="DF89" s="2">
        <v>1</v>
      </c>
      <c r="DG89" s="7">
        <v>40</v>
      </c>
      <c r="DH89" s="2">
        <v>1</v>
      </c>
      <c r="DI89" s="7">
        <v>41</v>
      </c>
      <c r="DJ89" s="2">
        <v>1</v>
      </c>
      <c r="DK89" s="7">
        <v>41</v>
      </c>
      <c r="DL89" s="2">
        <v>1</v>
      </c>
      <c r="DM89" s="7">
        <v>43</v>
      </c>
      <c r="DN89" s="2">
        <v>1</v>
      </c>
      <c r="DO89" s="7">
        <v>42</v>
      </c>
      <c r="DP89" s="2">
        <v>1</v>
      </c>
      <c r="DQ89" s="7">
        <v>42</v>
      </c>
      <c r="DR89" s="2">
        <v>1</v>
      </c>
      <c r="DS89" s="7">
        <v>42</v>
      </c>
      <c r="DT89" s="2">
        <v>1</v>
      </c>
    </row>
    <row r="90" spans="1:124" x14ac:dyDescent="0.2">
      <c r="A90" t="str">
        <f>HYPERLINK("http://exon.niaid.nih.gov/transcriptome/C_felis/S2/links/pep/Cf-106-pep.txt","Cf-106")</f>
        <v>Cf-106</v>
      </c>
      <c r="B90" s="2">
        <v>1</v>
      </c>
      <c r="C90">
        <v>195</v>
      </c>
      <c r="D90" t="str">
        <f>HYPERLINK("http://exon.niaid.nih.gov/transcriptome/C_felis/S2/links/cds/Cf-106-cds.txt","Cf-106")</f>
        <v>Cf-106</v>
      </c>
      <c r="E90">
        <v>588</v>
      </c>
      <c r="F90" t="s">
        <v>457</v>
      </c>
      <c r="G90">
        <v>0</v>
      </c>
      <c r="I90" s="2" t="s">
        <v>10</v>
      </c>
      <c r="J90" s="2" t="s">
        <v>3</v>
      </c>
      <c r="K90" s="20" t="str">
        <f>HYPERLINK("http://exon.niaid.nih.gov/transcriptome/C_felis/S2/links/Sigp/Cf-106-SigP.txt","CYT")</f>
        <v>CYT</v>
      </c>
      <c r="L90" s="2" t="s">
        <v>7</v>
      </c>
      <c r="M90" s="2">
        <v>22.31</v>
      </c>
      <c r="N90" s="2">
        <v>10.71</v>
      </c>
      <c r="O90" s="2" t="s">
        <v>7</v>
      </c>
      <c r="P90" s="2" t="s">
        <v>7</v>
      </c>
      <c r="Q90" s="24" t="s">
        <v>559</v>
      </c>
      <c r="R90" s="20">
        <v>0</v>
      </c>
      <c r="S90" s="2" t="s">
        <v>7</v>
      </c>
      <c r="T90" s="2" t="s">
        <v>7</v>
      </c>
      <c r="U90" s="2" t="s">
        <v>7</v>
      </c>
      <c r="V90" s="2" t="s">
        <v>7</v>
      </c>
      <c r="W90" s="2" t="s">
        <v>7</v>
      </c>
      <c r="X90" s="20" t="str">
        <f>HYPERLINK("http://exon.niaid.nih.gov/transcriptome/C_felis/S2/links/netoglyc/CF-106-netoglyc.txt","0")</f>
        <v>0</v>
      </c>
      <c r="Y90" s="2">
        <v>9.1999999999999993</v>
      </c>
      <c r="Z90" s="2">
        <v>7.2</v>
      </c>
      <c r="AA90" s="2">
        <v>4.0999999999999996</v>
      </c>
      <c r="AB90" t="s">
        <v>437</v>
      </c>
      <c r="AC90" t="s">
        <v>438</v>
      </c>
      <c r="AD90" t="s">
        <v>457</v>
      </c>
      <c r="AE90" s="2">
        <v>1</v>
      </c>
      <c r="AF90" s="4" t="str">
        <f>HYPERLINK("http://exon.niaid.nih.gov/transcriptome/C_felis/S2/links/NR/Cf-106-NR.txt","ribosomal protein S8e")</f>
        <v>ribosomal protein S8e</v>
      </c>
      <c r="AG90" t="str">
        <f>HYPERLINK("http://www.ncbi.nlm.nih.gov/sutils/blink.cgi?pid=70909499","6E-091")</f>
        <v>6E-091</v>
      </c>
      <c r="AH90" t="str">
        <f>HYPERLINK("http://www.ncbi.nlm.nih.gov/protein/70909499","gi|70909499")</f>
        <v>gi|70909499</v>
      </c>
      <c r="AI90">
        <v>337</v>
      </c>
      <c r="AJ90">
        <v>193</v>
      </c>
      <c r="AK90">
        <v>201</v>
      </c>
      <c r="AL90">
        <v>85</v>
      </c>
      <c r="AM90">
        <v>97</v>
      </c>
      <c r="AN90" t="s">
        <v>147</v>
      </c>
      <c r="AO90" s="4" t="str">
        <f>HYPERLINK("http://exon.niaid.nih.gov/transcriptome/C_felis/S2/links/SWISSP/Cf-106-SWISSP.txt","40S ribosomal protein S8")</f>
        <v>40S ribosomal protein S8</v>
      </c>
      <c r="AP90" t="str">
        <f>HYPERLINK("http://www.uniprot.org/uniprot/Q8WQI5","4E-091")</f>
        <v>4E-091</v>
      </c>
      <c r="AQ90" t="s">
        <v>142</v>
      </c>
      <c r="AR90">
        <v>333</v>
      </c>
      <c r="AS90">
        <v>193</v>
      </c>
      <c r="AT90">
        <v>208</v>
      </c>
      <c r="AU90">
        <v>83</v>
      </c>
      <c r="AV90">
        <v>93</v>
      </c>
      <c r="AW90" t="s">
        <v>68</v>
      </c>
      <c r="AX90" s="4" t="s">
        <v>143</v>
      </c>
      <c r="AY90">
        <f>HYPERLINK("http://exon.niaid.nih.gov/transcriptome/C_felis/S2/links/GO/Cf-106-GO.txt",5E-85)</f>
        <v>5.0000000000000002E-85</v>
      </c>
      <c r="AZ90" t="str">
        <f t="shared" si="30"/>
        <v>GO:0003735</v>
      </c>
      <c r="BA90" t="s">
        <v>53</v>
      </c>
      <c r="BB90" t="s">
        <v>54</v>
      </c>
      <c r="BC90" t="s">
        <v>55</v>
      </c>
      <c r="BD90" t="s">
        <v>7</v>
      </c>
      <c r="BF90" s="5">
        <v>5.0000000000000002E-85</v>
      </c>
      <c r="BG90" t="str">
        <f>HYPERLINK("http://amigo.geneontology.org/cgi-bin/amigo/term_details?term=GO:0005840","GO:0005840")</f>
        <v>GO:0005840</v>
      </c>
      <c r="BH90" t="s">
        <v>94</v>
      </c>
      <c r="BI90" t="s">
        <v>95</v>
      </c>
      <c r="BJ90" t="s">
        <v>96</v>
      </c>
      <c r="BK90" t="s">
        <v>7</v>
      </c>
      <c r="BM90" s="5">
        <v>5.0000000000000002E-85</v>
      </c>
      <c r="BN90" t="str">
        <f t="shared" si="31"/>
        <v>GO:0006412</v>
      </c>
      <c r="BO90" t="s">
        <v>59</v>
      </c>
      <c r="BP90" t="s">
        <v>60</v>
      </c>
      <c r="BQ90" t="s">
        <v>61</v>
      </c>
      <c r="BR90" t="s">
        <v>7</v>
      </c>
      <c r="BT90" s="5">
        <v>5.0000000000000002E-85</v>
      </c>
      <c r="BU90" s="4" t="str">
        <f>HYPERLINK("http://exon.niaid.nih.gov/transcriptome/C_felis/S2/links/KOG/Cf-106-KOG.txt","40S ribosomal protein S8")</f>
        <v>40S ribosomal protein S8</v>
      </c>
      <c r="BV90" t="str">
        <f>HYPERLINK("http://www.ncbi.nlm.nih.gov/COG/grace/shokog.cgi?KOG3283","2E-068")</f>
        <v>2E-068</v>
      </c>
      <c r="BW90" t="s">
        <v>62</v>
      </c>
      <c r="BX90" t="str">
        <f>HYPERLINK("http://exon.niaid.nih.gov/transcriptome/C_felis/S2/links/KOG/Cf-106-KOG.txt","KOG3283")</f>
        <v>KOG3283</v>
      </c>
      <c r="BY90" s="4" t="str">
        <f>HYPERLINK("http://exon.niaid.nih.gov/transcriptome/C_felis/S2/links/CDD/Cf-106-CDD.txt","PTZ00148")</f>
        <v>PTZ00148</v>
      </c>
      <c r="BZ90" t="str">
        <f>HYPERLINK("http://www.ncbi.nlm.nih.gov/Structure/cdd/cddsrv.cgi?uid=PTZ00148&amp;version=v4.0","3E-076")</f>
        <v>3E-076</v>
      </c>
      <c r="CA90" t="s">
        <v>148</v>
      </c>
      <c r="CB90" s="4" t="str">
        <f>HYPERLINK("http://exon.niaid.nih.gov/transcriptome/C_felis/S2/links/PFAM/Cf-106-PFAM.txt","Ribosomal_S8e")</f>
        <v>Ribosomal_S8e</v>
      </c>
      <c r="CC90" t="str">
        <f>HYPERLINK("http://pfam.sanger.ac.uk/family?acc=PF01201","4E-035")</f>
        <v>4E-035</v>
      </c>
      <c r="CD90" s="4" t="str">
        <f>HYPERLINK("http://exon.niaid.nih.gov/transcriptome/C_felis/S2/links/SMART/Cf-106-SMART.txt","ArfGap")</f>
        <v>ArfGap</v>
      </c>
      <c r="CE90" t="str">
        <f>HYPERLINK("http://smart.embl-heidelberg.de/smart/do_annotation.pl?DOMAIN=ArfGap&amp;BLAST=DUMMY","0.29")</f>
        <v>0.29</v>
      </c>
      <c r="CF90" s="4" t="s">
        <v>7</v>
      </c>
      <c r="CG90" t="s">
        <v>7</v>
      </c>
      <c r="CH90" t="s">
        <v>7</v>
      </c>
      <c r="CI90" t="s">
        <v>7</v>
      </c>
      <c r="CJ90" t="s">
        <v>7</v>
      </c>
      <c r="CK90" s="7">
        <f>HYPERLINK("http://exon.niaid.nih.gov/transcriptome/C_felis/S2/links/cluster/cf-pep95-2-Id-CLU6.txt", 6)</f>
        <v>6</v>
      </c>
      <c r="CL90" s="2">
        <f>HYPERLINK("http://exon.niaid.nih.gov/transcriptome/C_felis/S2/links/cluster/cf-pep95-2-Id-CLTL6.txt", 3)</f>
        <v>3</v>
      </c>
      <c r="CM90" s="7">
        <f>HYPERLINK("http://exon.niaid.nih.gov/transcriptome/C_felis/S2/links/cluster/cf-pep100-3-Id-CLU6.txt", 6)</f>
        <v>6</v>
      </c>
      <c r="CN90" s="2">
        <f>HYPERLINK("http://exon.niaid.nih.gov/transcriptome/C_felis/S2/links/cluster/cf-pep100-3-Id-CLTL6.txt", 3)</f>
        <v>3</v>
      </c>
      <c r="CO90" s="7">
        <f>HYPERLINK("http://exon.niaid.nih.gov/transcriptome/C_felis/S2/links/cluster/cf-pep100-4-Id-CLU6.txt", 6)</f>
        <v>6</v>
      </c>
      <c r="CP90" s="2">
        <f>HYPERLINK("http://exon.niaid.nih.gov/transcriptome/C_felis/S2/links/cluster/cf-pep100-4-Id-CLTL6.txt", 3)</f>
        <v>3</v>
      </c>
      <c r="CQ90" s="7">
        <f>HYPERLINK("http://exon.niaid.nih.gov/transcriptome/C_felis/S2/links/cluster/cf-pep25-50-Sim-CLU6.txt", 6)</f>
        <v>6</v>
      </c>
      <c r="CR90" s="2">
        <f>HYPERLINK("http://exon.niaid.nih.gov/transcriptome/C_felis/S2/links/cluster/cf-pep25-50-Sim-CLTL6.txt", 3)</f>
        <v>3</v>
      </c>
      <c r="CS90" s="7">
        <f>HYPERLINK("http://exon.niaid.nih.gov/transcriptome/C_felis/S2/links/cluster/cf-pep30-50-Sim-CLU7.txt", 7)</f>
        <v>7</v>
      </c>
      <c r="CT90" s="2">
        <f>HYPERLINK("http://exon.niaid.nih.gov/transcriptome/C_felis/S2/links/cluster/cf-pep30-50-Sim-CLTL7.txt", 3)</f>
        <v>3</v>
      </c>
      <c r="CU90" s="7">
        <f>HYPERLINK("http://exon.niaid.nih.gov/transcriptome/C_felis/S2/links/cluster/cf-pep35-50-Sim-CLU6.txt", 6)</f>
        <v>6</v>
      </c>
      <c r="CV90" s="2">
        <f>HYPERLINK("http://exon.niaid.nih.gov/transcriptome/C_felis/S2/links/cluster/cf-pep35-50-Sim-CLTL6.txt", 3)</f>
        <v>3</v>
      </c>
      <c r="CW90" s="7">
        <f>HYPERLINK("http://exon.niaid.nih.gov/transcriptome/C_felis/S2/links/cluster/cf-pep40-50-Sim-CLU6.txt", 6)</f>
        <v>6</v>
      </c>
      <c r="CX90" s="2">
        <f>HYPERLINK("http://exon.niaid.nih.gov/transcriptome/C_felis/S2/links/cluster/cf-pep40-50-Sim-CLTL6.txt", 3)</f>
        <v>3</v>
      </c>
      <c r="CY90" s="7">
        <f>HYPERLINK("http://exon.niaid.nih.gov/transcriptome/C_felis/S2/links/cluster/cf-pep45-50-Sim-CLU6.txt", 6)</f>
        <v>6</v>
      </c>
      <c r="CZ90" s="2">
        <f>HYPERLINK("http://exon.niaid.nih.gov/transcriptome/C_felis/S2/links/cluster/cf-pep45-50-Sim-CLTL6.txt", 3)</f>
        <v>3</v>
      </c>
      <c r="DA90" s="7">
        <f>HYPERLINK("http://exon.niaid.nih.gov/transcriptome/C_felis/S2/links/cluster/cf-pep50-50-Sim-CLU6.txt", 6)</f>
        <v>6</v>
      </c>
      <c r="DB90" s="2">
        <f>HYPERLINK("http://exon.niaid.nih.gov/transcriptome/C_felis/S2/links/cluster/cf-pep50-50-Sim-CLTL6.txt", 3)</f>
        <v>3</v>
      </c>
      <c r="DC90" s="7">
        <f>HYPERLINK("http://exon.niaid.nih.gov/transcriptome/C_felis/S2/links/cluster/cf-pep55-50-Sim-CLU6.txt", 6)</f>
        <v>6</v>
      </c>
      <c r="DD90" s="2">
        <f>HYPERLINK("http://exon.niaid.nih.gov/transcriptome/C_felis/S2/links/cluster/cf-pep55-50-Sim-CLTL6.txt", 3)</f>
        <v>3</v>
      </c>
      <c r="DE90" s="7">
        <f>HYPERLINK("http://exon.niaid.nih.gov/transcriptome/C_felis/S2/links/cluster/cf-pep60-50-Sim-CLU4.txt", 4)</f>
        <v>4</v>
      </c>
      <c r="DF90" s="2">
        <f>HYPERLINK("http://exon.niaid.nih.gov/transcriptome/C_felis/S2/links/cluster/cf-pep60-50-Sim-CLTL4.txt", 3)</f>
        <v>3</v>
      </c>
      <c r="DG90" s="7">
        <f>HYPERLINK("http://exon.niaid.nih.gov/transcriptome/C_felis/S2/links/cluster/cf-pep65-50-Sim-CLU4.txt", 4)</f>
        <v>4</v>
      </c>
      <c r="DH90" s="2">
        <f>HYPERLINK("http://exon.niaid.nih.gov/transcriptome/C_felis/S2/links/cluster/cf-pep65-50-Sim-CLTL4.txt", 3)</f>
        <v>3</v>
      </c>
      <c r="DI90" s="7">
        <f>HYPERLINK("http://exon.niaid.nih.gov/transcriptome/C_felis/S2/links/cluster/cf-pep70-50-Sim-CLU4.txt", 4)</f>
        <v>4</v>
      </c>
      <c r="DJ90" s="2">
        <f>HYPERLINK("http://exon.niaid.nih.gov/transcriptome/C_felis/S2/links/cluster/cf-pep70-50-Sim-CLTL4.txt", 3)</f>
        <v>3</v>
      </c>
      <c r="DK90" s="7">
        <f>HYPERLINK("http://exon.niaid.nih.gov/transcriptome/C_felis/S2/links/cluster/cf-pep75-50-Sim-CLU4.txt", 4)</f>
        <v>4</v>
      </c>
      <c r="DL90" s="2">
        <f>HYPERLINK("http://exon.niaid.nih.gov/transcriptome/C_felis/S2/links/cluster/cf-pep75-50-Sim-CLTL4.txt", 3)</f>
        <v>3</v>
      </c>
      <c r="DM90" s="7">
        <f>HYPERLINK("http://exon.niaid.nih.gov/transcriptome/C_felis/S2/links/cluster/cf-pep80-50-Sim-CLU4.txt", 4)</f>
        <v>4</v>
      </c>
      <c r="DN90" s="2">
        <f>HYPERLINK("http://exon.niaid.nih.gov/transcriptome/C_felis/S2/links/cluster/cf-pep80-50-Sim-CLTL4.txt", 3)</f>
        <v>3</v>
      </c>
      <c r="DO90" s="7">
        <f>HYPERLINK("http://exon.niaid.nih.gov/transcriptome/C_felis/S2/links/cluster/cf-pep85-50-Sim-CLU2.txt", 2)</f>
        <v>2</v>
      </c>
      <c r="DP90" s="2">
        <f>HYPERLINK("http://exon.niaid.nih.gov/transcriptome/C_felis/S2/links/cluster/cf-pep85-50-Sim-CLTL2.txt", 3)</f>
        <v>3</v>
      </c>
      <c r="DQ90" s="7">
        <f>HYPERLINK("http://exon.niaid.nih.gov/transcriptome/C_felis/S2/links/cluster/cf-pep90-50-Sim-CLU2.txt", 2)</f>
        <v>2</v>
      </c>
      <c r="DR90" s="2">
        <f>HYPERLINK("http://exon.niaid.nih.gov/transcriptome/C_felis/S2/links/cluster/cf-pep90-50-Sim-CLTL2.txt", 3)</f>
        <v>3</v>
      </c>
      <c r="DS90" s="7">
        <f>HYPERLINK("http://exon.niaid.nih.gov/transcriptome/C_felis/S2/links/cluster/cf-pep95-50-Sim-CLU2.txt", 2)</f>
        <v>2</v>
      </c>
      <c r="DT90" s="2">
        <f>HYPERLINK("http://exon.niaid.nih.gov/transcriptome/C_felis/S2/links/cluster/cf-pep95-50-Sim-CLTL2.txt", 2)</f>
        <v>2</v>
      </c>
    </row>
    <row r="91" spans="1:124" x14ac:dyDescent="0.2">
      <c r="A91" t="str">
        <f>HYPERLINK("http://exon.niaid.nih.gov/transcriptome/C_felis/S2/links/pep/Cf-209-pep.txt","Cf-209")</f>
        <v>Cf-209</v>
      </c>
      <c r="B91" s="2">
        <v>3</v>
      </c>
      <c r="C91">
        <v>79</v>
      </c>
      <c r="D91" t="str">
        <f>HYPERLINK("http://exon.niaid.nih.gov/transcriptome/C_felis/S2/links/cds/Cf-209-cds.txt","Cf-209")</f>
        <v>Cf-209</v>
      </c>
      <c r="E91">
        <v>240</v>
      </c>
      <c r="F91" t="s">
        <v>492</v>
      </c>
      <c r="G91">
        <v>0</v>
      </c>
      <c r="I91" s="2" t="s">
        <v>8</v>
      </c>
      <c r="J91" s="2" t="s">
        <v>3</v>
      </c>
      <c r="K91" s="20" t="str">
        <f>HYPERLINK("http://exon.niaid.nih.gov/transcriptome/C_felis/S2/links/Sigp/Cf-209-SigP.txt","CYT")</f>
        <v>CYT</v>
      </c>
      <c r="L91" s="2" t="s">
        <v>7</v>
      </c>
      <c r="M91" s="2">
        <v>9.0429999999999993</v>
      </c>
      <c r="N91" s="2">
        <v>10.11</v>
      </c>
      <c r="O91" s="2" t="s">
        <v>7</v>
      </c>
      <c r="P91" s="2" t="s">
        <v>7</v>
      </c>
      <c r="Q91" s="24" t="s">
        <v>579</v>
      </c>
      <c r="R91" s="20">
        <v>0</v>
      </c>
      <c r="S91" s="2" t="s">
        <v>7</v>
      </c>
      <c r="T91" s="2" t="s">
        <v>7</v>
      </c>
      <c r="U91" s="2" t="s">
        <v>7</v>
      </c>
      <c r="V91" s="2" t="s">
        <v>7</v>
      </c>
      <c r="W91" s="2" t="s">
        <v>7</v>
      </c>
      <c r="X91" s="20" t="str">
        <f>HYPERLINK("http://exon.niaid.nih.gov/transcriptome/C_felis/S2/links/netoglyc/CF-209-netoglyc.txt","1")</f>
        <v>1</v>
      </c>
      <c r="Y91" s="2">
        <v>11.4</v>
      </c>
      <c r="Z91" s="2">
        <v>5.0999999999999996</v>
      </c>
      <c r="AA91" s="2">
        <v>3.8</v>
      </c>
      <c r="AB91" t="s">
        <v>437</v>
      </c>
      <c r="AC91" t="s">
        <v>438</v>
      </c>
      <c r="AD91" t="s">
        <v>492</v>
      </c>
      <c r="AE91" s="2">
        <v>3</v>
      </c>
      <c r="AF91" s="4" t="str">
        <f>HYPERLINK("http://exon.niaid.nih.gov/transcriptome/C_felis/S2/links/NR/Cf-209-NR.txt","60S ribosomal protein L31")</f>
        <v>60S ribosomal protein L31</v>
      </c>
      <c r="AG91" t="str">
        <f>HYPERLINK("http://www.ncbi.nlm.nih.gov/sutils/blink.cgi?pid=307176321","1E-032")</f>
        <v>1E-032</v>
      </c>
      <c r="AH91" t="str">
        <f>HYPERLINK("http://www.ncbi.nlm.nih.gov/protein/307176321","gi|307176321")</f>
        <v>gi|307176321</v>
      </c>
      <c r="AI91">
        <v>143</v>
      </c>
      <c r="AJ91">
        <v>72</v>
      </c>
      <c r="AK91">
        <v>123</v>
      </c>
      <c r="AL91">
        <v>91</v>
      </c>
      <c r="AM91">
        <v>59</v>
      </c>
      <c r="AN91" t="s">
        <v>273</v>
      </c>
      <c r="AO91" s="4" t="str">
        <f>HYPERLINK("http://exon.niaid.nih.gov/transcriptome/C_felis/S2/links/SWISSP/Cf-209-SWISSP.txt","60S ribosomal protein L31")</f>
        <v>60S ribosomal protein L31</v>
      </c>
      <c r="AP91" t="str">
        <f>HYPERLINK("http://www.uniprot.org/uniprot/Q7KF90","2E-031")</f>
        <v>2E-031</v>
      </c>
      <c r="AQ91" t="s">
        <v>274</v>
      </c>
      <c r="AR91">
        <v>134</v>
      </c>
      <c r="AS91">
        <v>72</v>
      </c>
      <c r="AT91">
        <v>124</v>
      </c>
      <c r="AU91">
        <v>87</v>
      </c>
      <c r="AV91">
        <v>59</v>
      </c>
      <c r="AW91" t="s">
        <v>68</v>
      </c>
      <c r="AX91" s="4" t="s">
        <v>275</v>
      </c>
      <c r="AY91">
        <f>HYPERLINK("http://exon.niaid.nih.gov/transcriptome/C_felis/S2/links/GO/Cf-209-GO.txt",4E-28)</f>
        <v>3.9999999999999999E-28</v>
      </c>
      <c r="AZ91" t="str">
        <f t="shared" si="30"/>
        <v>GO:0003735</v>
      </c>
      <c r="BA91" t="s">
        <v>53</v>
      </c>
      <c r="BB91" t="s">
        <v>54</v>
      </c>
      <c r="BC91" t="s">
        <v>55</v>
      </c>
      <c r="BD91" t="s">
        <v>7</v>
      </c>
      <c r="BF91" s="5">
        <v>3.9999999999999999E-28</v>
      </c>
      <c r="BG91" t="str">
        <f>HYPERLINK("http://amigo.geneontology.org/cgi-bin/amigo/term_details?term=GO:0005622","GO:0005622")</f>
        <v>GO:0005622</v>
      </c>
      <c r="BH91" t="s">
        <v>128</v>
      </c>
      <c r="BI91" t="s">
        <v>129</v>
      </c>
      <c r="BJ91" t="s">
        <v>130</v>
      </c>
      <c r="BK91" t="s">
        <v>7</v>
      </c>
      <c r="BM91" s="5">
        <v>3.9999999999999999E-28</v>
      </c>
      <c r="BN91" t="str">
        <f t="shared" si="31"/>
        <v>GO:0006412</v>
      </c>
      <c r="BO91" t="s">
        <v>59</v>
      </c>
      <c r="BP91" t="s">
        <v>60</v>
      </c>
      <c r="BQ91" t="s">
        <v>61</v>
      </c>
      <c r="BR91" t="s">
        <v>7</v>
      </c>
      <c r="BT91" s="5">
        <v>3.9999999999999999E-28</v>
      </c>
      <c r="BU91" s="4" t="str">
        <f>HYPERLINK("http://exon.niaid.nih.gov/transcriptome/C_felis/S2/links/KOG/Cf-209-KOG.txt","60S ribosomal protein L31")</f>
        <v>60S ribosomal protein L31</v>
      </c>
      <c r="BV91" t="str">
        <f>HYPERLINK("http://www.ncbi.nlm.nih.gov/COG/grace/shokog.cgi?KOG0893","6E-022")</f>
        <v>6E-022</v>
      </c>
      <c r="BW91" t="s">
        <v>62</v>
      </c>
      <c r="BX91" t="str">
        <f>HYPERLINK("http://exon.niaid.nih.gov/transcriptome/C_felis/S2/links/KOG/Cf-209-KOG.txt","KOG0893")</f>
        <v>KOG0893</v>
      </c>
      <c r="BY91" s="4" t="str">
        <f>HYPERLINK("http://exon.niaid.nih.gov/transcriptome/C_felis/S2/links/CDD/Cf-209-CDD.txt","Ribosomal_L31e")</f>
        <v>Ribosomal_L31e</v>
      </c>
      <c r="BZ91" t="str">
        <f>HYPERLINK("http://www.ncbi.nlm.nih.gov/Structure/cdd/cddsrv.cgi?uid=pfam01198&amp;version=v4.0","5E-017")</f>
        <v>5E-017</v>
      </c>
      <c r="CA91" t="s">
        <v>276</v>
      </c>
      <c r="CB91" s="4" t="str">
        <f>HYPERLINK("http://exon.niaid.nih.gov/transcriptome/C_felis/S2/links/PFAM/Cf-209-PFAM.txt","Ribosomal_L31e")</f>
        <v>Ribosomal_L31e</v>
      </c>
      <c r="CC91" t="str">
        <f>HYPERLINK("http://pfam.sanger.ac.uk/family?acc=PF01198","1E-017")</f>
        <v>1E-017</v>
      </c>
      <c r="CD91" s="4" t="str">
        <f>HYPERLINK("http://exon.niaid.nih.gov/transcriptome/C_felis/S2/links/SMART/Cf-209-SMART.txt","CRISPR_assoc")</f>
        <v>CRISPR_assoc</v>
      </c>
      <c r="CE91" t="str">
        <f>HYPERLINK("http://smart.embl-heidelberg.de/smart/do_annotation.pl?DOMAIN=CRISPR_assoc&amp;BLAST=DUMMY","1.6")</f>
        <v>1.6</v>
      </c>
      <c r="CF91" s="4" t="s">
        <v>7</v>
      </c>
      <c r="CG91" t="s">
        <v>7</v>
      </c>
      <c r="CH91" t="s">
        <v>7</v>
      </c>
      <c r="CI91" t="s">
        <v>7</v>
      </c>
      <c r="CJ91" t="s">
        <v>7</v>
      </c>
      <c r="CK91" s="7">
        <v>51</v>
      </c>
      <c r="CL91" s="2">
        <v>1</v>
      </c>
      <c r="CM91" s="7">
        <v>51</v>
      </c>
      <c r="CN91" s="2">
        <v>1</v>
      </c>
      <c r="CO91" s="7">
        <v>51</v>
      </c>
      <c r="CP91" s="2">
        <v>1</v>
      </c>
      <c r="CQ91" s="7">
        <v>38</v>
      </c>
      <c r="CR91" s="2">
        <v>1</v>
      </c>
      <c r="CS91" s="7">
        <v>43</v>
      </c>
      <c r="CT91" s="2">
        <v>1</v>
      </c>
      <c r="CU91" s="7">
        <v>50</v>
      </c>
      <c r="CV91" s="2">
        <v>1</v>
      </c>
      <c r="CW91" s="7">
        <v>49</v>
      </c>
      <c r="CX91" s="2">
        <v>1</v>
      </c>
      <c r="CY91" s="7">
        <v>52</v>
      </c>
      <c r="CZ91" s="2">
        <v>1</v>
      </c>
      <c r="DA91" s="7">
        <v>54</v>
      </c>
      <c r="DB91" s="2">
        <v>1</v>
      </c>
      <c r="DC91" s="7">
        <v>55</v>
      </c>
      <c r="DD91" s="2">
        <v>1</v>
      </c>
      <c r="DE91" s="7">
        <v>54</v>
      </c>
      <c r="DF91" s="2">
        <v>1</v>
      </c>
      <c r="DG91" s="7">
        <v>54</v>
      </c>
      <c r="DH91" s="2">
        <v>1</v>
      </c>
      <c r="DI91" s="7">
        <v>55</v>
      </c>
      <c r="DJ91" s="2">
        <v>1</v>
      </c>
      <c r="DK91" s="7">
        <v>55</v>
      </c>
      <c r="DL91" s="2">
        <v>1</v>
      </c>
      <c r="DM91" s="7">
        <v>57</v>
      </c>
      <c r="DN91" s="2">
        <v>1</v>
      </c>
      <c r="DO91" s="7">
        <v>56</v>
      </c>
      <c r="DP91" s="2">
        <v>1</v>
      </c>
      <c r="DQ91" s="7">
        <v>56</v>
      </c>
      <c r="DR91" s="2">
        <v>1</v>
      </c>
      <c r="DS91" s="7">
        <v>57</v>
      </c>
      <c r="DT91" s="2">
        <v>1</v>
      </c>
    </row>
    <row r="92" spans="1:124" x14ac:dyDescent="0.2">
      <c r="A92" t="str">
        <f>HYPERLINK("http://exon.niaid.nih.gov/transcriptome/C_felis/S2/links/pep/Cf-97-pep.txt","Cf-97")</f>
        <v>Cf-97</v>
      </c>
      <c r="B92" s="2">
        <v>5</v>
      </c>
      <c r="C92">
        <v>155</v>
      </c>
      <c r="D92" t="str">
        <f>HYPERLINK("http://exon.niaid.nih.gov/transcriptome/C_felis/S2/links/cds/Cf-97-cds.txt","Cf-97")</f>
        <v>Cf-97</v>
      </c>
      <c r="E92">
        <v>468</v>
      </c>
      <c r="F92" t="s">
        <v>519</v>
      </c>
      <c r="G92">
        <v>0</v>
      </c>
      <c r="I92" s="2" t="s">
        <v>8</v>
      </c>
      <c r="J92" s="2" t="s">
        <v>3</v>
      </c>
      <c r="K92" s="20" t="str">
        <f>HYPERLINK("http://exon.niaid.nih.gov/transcriptome/C_felis/S2/links/Sigp/Cf-97-SigP.txt","CYT")</f>
        <v>CYT</v>
      </c>
      <c r="L92" s="2" t="s">
        <v>7</v>
      </c>
      <c r="M92" s="2">
        <v>17.71</v>
      </c>
      <c r="N92" s="2">
        <v>11.52</v>
      </c>
      <c r="O92" s="2" t="s">
        <v>7</v>
      </c>
      <c r="P92" s="2" t="s">
        <v>7</v>
      </c>
      <c r="Q92" s="24" t="s">
        <v>575</v>
      </c>
      <c r="R92" s="20">
        <v>0</v>
      </c>
      <c r="S92" s="2" t="s">
        <v>7</v>
      </c>
      <c r="T92" s="2" t="s">
        <v>7</v>
      </c>
      <c r="U92" s="2" t="s">
        <v>7</v>
      </c>
      <c r="V92" s="2" t="s">
        <v>7</v>
      </c>
      <c r="W92" s="2" t="s">
        <v>7</v>
      </c>
      <c r="X92" s="20" t="str">
        <f>HYPERLINK("http://exon.niaid.nih.gov/transcriptome/C_felis/S2/links/netoglyc/CF-97-netoglyc.txt","2")</f>
        <v>2</v>
      </c>
      <c r="Y92" s="2">
        <v>11</v>
      </c>
      <c r="Z92" s="2">
        <v>4.5</v>
      </c>
      <c r="AA92" s="2">
        <v>5.8</v>
      </c>
      <c r="AB92" t="s">
        <v>437</v>
      </c>
      <c r="AC92" t="s">
        <v>438</v>
      </c>
      <c r="AD92" t="s">
        <v>519</v>
      </c>
      <c r="AE92" s="2">
        <v>5</v>
      </c>
      <c r="AF92" s="4" t="str">
        <f>HYPERLINK("http://exon.niaid.nih.gov/transcriptome/C_felis/S2/links/NR/Cf-97-NR.txt","ribosomal protein S6")</f>
        <v>ribosomal protein S6</v>
      </c>
      <c r="AG92" t="str">
        <f>HYPERLINK("http://www.ncbi.nlm.nih.gov/sutils/blink.cgi?pid=112982661","2E-065")</f>
        <v>2E-065</v>
      </c>
      <c r="AH92" t="str">
        <f>HYPERLINK("http://www.ncbi.nlm.nih.gov/protein/112982661","gi|112982661")</f>
        <v>gi|112982661</v>
      </c>
      <c r="AI92">
        <v>252</v>
      </c>
      <c r="AJ92">
        <v>154</v>
      </c>
      <c r="AK92">
        <v>253</v>
      </c>
      <c r="AL92">
        <v>84</v>
      </c>
      <c r="AM92">
        <v>61</v>
      </c>
      <c r="AN92" t="s">
        <v>84</v>
      </c>
      <c r="AO92" s="4" t="str">
        <f>HYPERLINK("http://exon.niaid.nih.gov/transcriptome/C_felis/S2/links/SWISSP/Cf-97-SWISSP.txt","40S ribosomal protein S6")</f>
        <v>40S ribosomal protein S6</v>
      </c>
      <c r="AP92" t="str">
        <f>HYPERLINK("http://www.uniprot.org/uniprot/Q95V32","7E-067")</f>
        <v>7E-067</v>
      </c>
      <c r="AQ92" t="s">
        <v>414</v>
      </c>
      <c r="AR92">
        <v>252</v>
      </c>
      <c r="AS92">
        <v>154</v>
      </c>
      <c r="AT92">
        <v>253</v>
      </c>
      <c r="AU92">
        <v>85</v>
      </c>
      <c r="AV92">
        <v>61</v>
      </c>
      <c r="AW92" t="s">
        <v>68</v>
      </c>
      <c r="AX92" s="4" t="s">
        <v>415</v>
      </c>
      <c r="AY92">
        <f>HYPERLINK("http://exon.niaid.nih.gov/transcriptome/C_felis/S2/links/GO/Cf-97-GO.txt",6E-56)</f>
        <v>5.9999999999999998E-56</v>
      </c>
      <c r="AZ92" t="str">
        <f t="shared" si="30"/>
        <v>GO:0003735</v>
      </c>
      <c r="BA92" t="s">
        <v>53</v>
      </c>
      <c r="BB92" t="s">
        <v>54</v>
      </c>
      <c r="BC92" t="s">
        <v>55</v>
      </c>
      <c r="BD92" t="s">
        <v>7</v>
      </c>
      <c r="BF92" s="5">
        <v>5.9999999999999998E-56</v>
      </c>
      <c r="BG92" t="str">
        <f>HYPERLINK("http://amigo.geneontology.org/cgi-bin/amigo/term_details?term=GO:0022627","GO:0022627")</f>
        <v>GO:0022627</v>
      </c>
      <c r="BH92" t="s">
        <v>79</v>
      </c>
      <c r="BI92" t="s">
        <v>80</v>
      </c>
      <c r="BJ92" t="s">
        <v>81</v>
      </c>
      <c r="BK92" t="s">
        <v>7</v>
      </c>
      <c r="BM92" s="5">
        <v>5.9999999999999998E-56</v>
      </c>
      <c r="BN92" t="str">
        <f t="shared" si="31"/>
        <v>GO:0006412</v>
      </c>
      <c r="BO92" t="s">
        <v>59</v>
      </c>
      <c r="BP92" t="s">
        <v>60</v>
      </c>
      <c r="BQ92" t="s">
        <v>61</v>
      </c>
      <c r="BR92" t="s">
        <v>7</v>
      </c>
      <c r="BT92" s="5">
        <v>5.9999999999999998E-56</v>
      </c>
      <c r="BU92" s="4" t="str">
        <f>HYPERLINK("http://exon.niaid.nih.gov/transcriptome/C_felis/S2/links/KOG/Cf-97-KOG.txt","40S ribosomal protein S6")</f>
        <v>40S ribosomal protein S6</v>
      </c>
      <c r="BV92" t="str">
        <f>HYPERLINK("http://www.ncbi.nlm.nih.gov/COG/grace/shokog.cgi?KOG1646","4E-037")</f>
        <v>4E-037</v>
      </c>
      <c r="BW92" t="s">
        <v>62</v>
      </c>
      <c r="BX92" t="str">
        <f>HYPERLINK("http://exon.niaid.nih.gov/transcriptome/C_felis/S2/links/KOG/Cf-97-KOG.txt","KOG1646")</f>
        <v>KOG1646</v>
      </c>
      <c r="BY92" s="4" t="str">
        <f>HYPERLINK("http://exon.niaid.nih.gov/transcriptome/C_felis/S2/links/CDD/Cf-97-CDD.txt","PTZ00028")</f>
        <v>PTZ00028</v>
      </c>
      <c r="BZ92" t="str">
        <f>HYPERLINK("http://www.ncbi.nlm.nih.gov/Structure/cdd/cddsrv.cgi?uid=PTZ00028&amp;version=v4.0","2E-032")</f>
        <v>2E-032</v>
      </c>
      <c r="CA92" t="s">
        <v>416</v>
      </c>
      <c r="CB92" s="4" t="str">
        <f>HYPERLINK("http://exon.niaid.nih.gov/transcriptome/C_felis/S2/links/PFAM/Cf-97-PFAM.txt","Ribosomal_S6e")</f>
        <v>Ribosomal_S6e</v>
      </c>
      <c r="CC92" t="str">
        <f>HYPERLINK("http://pfam.sanger.ac.uk/family?acc=PF01092","2E-005")</f>
        <v>2E-005</v>
      </c>
      <c r="CD92" s="4" t="str">
        <f>HYPERLINK("http://exon.niaid.nih.gov/transcriptome/C_felis/S2/links/SMART/Cf-97-SMART.txt","TLC")</f>
        <v>TLC</v>
      </c>
      <c r="CE92" t="str">
        <f>HYPERLINK("http://smart.embl-heidelberg.de/smart/do_annotation.pl?DOMAIN=TLC&amp;BLAST=DUMMY","0.82")</f>
        <v>0.82</v>
      </c>
      <c r="CF92" s="4" t="s">
        <v>7</v>
      </c>
      <c r="CG92" t="s">
        <v>7</v>
      </c>
      <c r="CH92" t="s">
        <v>7</v>
      </c>
      <c r="CI92" t="s">
        <v>7</v>
      </c>
      <c r="CJ92" t="s">
        <v>7</v>
      </c>
      <c r="CK92" s="7">
        <v>175</v>
      </c>
      <c r="CL92" s="2">
        <v>1</v>
      </c>
      <c r="CM92" s="7">
        <v>175</v>
      </c>
      <c r="CN92" s="2">
        <v>1</v>
      </c>
      <c r="CO92" s="7">
        <v>175</v>
      </c>
      <c r="CP92" s="2">
        <v>1</v>
      </c>
      <c r="CQ92" s="7">
        <f>HYPERLINK("http://exon.niaid.nih.gov/transcriptome/C_felis/S2/links/cluster/cf-pep25-50-Sim-CLU3.txt", 3)</f>
        <v>3</v>
      </c>
      <c r="CR92" s="2">
        <f>HYPERLINK("http://exon.niaid.nih.gov/transcriptome/C_felis/S2/links/cluster/cf-pep25-50-Sim-CLTL3.txt", 10)</f>
        <v>10</v>
      </c>
      <c r="CS92" s="7">
        <f>HYPERLINK("http://exon.niaid.nih.gov/transcriptome/C_felis/S2/links/cluster/cf-pep30-50-Sim-CLU4.txt", 4)</f>
        <v>4</v>
      </c>
      <c r="CT92" s="2">
        <f>HYPERLINK("http://exon.niaid.nih.gov/transcriptome/C_felis/S2/links/cluster/cf-pep30-50-Sim-CLTL4.txt", 6)</f>
        <v>6</v>
      </c>
      <c r="CU92" s="7">
        <v>149</v>
      </c>
      <c r="CV92" s="2">
        <v>1</v>
      </c>
      <c r="CW92" s="7">
        <v>157</v>
      </c>
      <c r="CX92" s="2">
        <v>1</v>
      </c>
      <c r="CY92" s="7">
        <v>165</v>
      </c>
      <c r="CZ92" s="2">
        <v>1</v>
      </c>
      <c r="DA92" s="7">
        <v>177</v>
      </c>
      <c r="DB92" s="2">
        <v>1</v>
      </c>
      <c r="DC92" s="7">
        <v>180</v>
      </c>
      <c r="DD92" s="2">
        <v>1</v>
      </c>
      <c r="DE92" s="7">
        <v>186</v>
      </c>
      <c r="DF92" s="2">
        <v>1</v>
      </c>
      <c r="DG92" s="7">
        <v>191</v>
      </c>
      <c r="DH92" s="2">
        <v>1</v>
      </c>
      <c r="DI92" s="7">
        <v>193</v>
      </c>
      <c r="DJ92" s="2">
        <v>1</v>
      </c>
      <c r="DK92" s="7">
        <v>195</v>
      </c>
      <c r="DL92" s="2">
        <v>1</v>
      </c>
      <c r="DM92" s="7">
        <v>197</v>
      </c>
      <c r="DN92" s="2">
        <v>1</v>
      </c>
      <c r="DO92" s="7">
        <v>202</v>
      </c>
      <c r="DP92" s="2">
        <v>1</v>
      </c>
      <c r="DQ92" s="7">
        <v>204</v>
      </c>
      <c r="DR92" s="2">
        <v>1</v>
      </c>
      <c r="DS92" s="7">
        <v>209</v>
      </c>
      <c r="DT92" s="2">
        <v>1</v>
      </c>
    </row>
    <row r="93" spans="1:124" x14ac:dyDescent="0.2">
      <c r="A93" t="str">
        <f>HYPERLINK("http://exon.niaid.nih.gov/transcriptome/C_felis/S2/links/pep/Cf-203-pep.txt","Cf-203")</f>
        <v>Cf-203</v>
      </c>
      <c r="B93" s="2">
        <v>3</v>
      </c>
      <c r="C93">
        <v>201</v>
      </c>
      <c r="D93" t="str">
        <f>HYPERLINK("http://exon.niaid.nih.gov/transcriptome/C_felis/S2/links/cds/Cf-203-cds.txt","Cf-203")</f>
        <v>Cf-203</v>
      </c>
      <c r="E93">
        <v>606</v>
      </c>
      <c r="F93" t="s">
        <v>491</v>
      </c>
      <c r="G93">
        <v>0</v>
      </c>
      <c r="I93" s="2" t="s">
        <v>5</v>
      </c>
      <c r="J93" s="2" t="s">
        <v>3</v>
      </c>
      <c r="K93" s="20" t="str">
        <f>HYPERLINK("http://exon.niaid.nih.gov/transcriptome/C_felis/S2/links/Sigp/Cf-203-SigP.txt","CYT")</f>
        <v>CYT</v>
      </c>
      <c r="L93" s="2" t="s">
        <v>7</v>
      </c>
      <c r="M93" s="2">
        <v>22.827000000000002</v>
      </c>
      <c r="N93" s="2">
        <v>9.67</v>
      </c>
      <c r="O93" s="2" t="s">
        <v>7</v>
      </c>
      <c r="P93" s="2" t="s">
        <v>7</v>
      </c>
      <c r="Q93" s="24" t="s">
        <v>556</v>
      </c>
      <c r="R93" s="20">
        <v>0</v>
      </c>
      <c r="S93" s="2" t="s">
        <v>7</v>
      </c>
      <c r="T93" s="2" t="s">
        <v>7</v>
      </c>
      <c r="U93" s="2" t="s">
        <v>7</v>
      </c>
      <c r="V93" s="2" t="s">
        <v>7</v>
      </c>
      <c r="W93" s="2" t="s">
        <v>7</v>
      </c>
      <c r="X93" s="20" t="str">
        <f>HYPERLINK("http://exon.niaid.nih.gov/transcriptome/C_felis/S2/links/netoglyc/CF-203-netoglyc.txt","0")</f>
        <v>0</v>
      </c>
      <c r="Y93" s="2">
        <v>6</v>
      </c>
      <c r="Z93" s="2">
        <v>9</v>
      </c>
      <c r="AA93" s="2">
        <v>4.5</v>
      </c>
      <c r="AB93" t="s">
        <v>437</v>
      </c>
      <c r="AC93" t="s">
        <v>438</v>
      </c>
      <c r="AD93" t="s">
        <v>491</v>
      </c>
      <c r="AE93" s="2">
        <v>3</v>
      </c>
      <c r="AF93" s="4" t="str">
        <f>HYPERLINK("http://exon.niaid.nih.gov/transcriptome/C_felis/S2/links/NR/Cf-203-NR.txt","ribosomal protein L10e")</f>
        <v>ribosomal protein L10e</v>
      </c>
      <c r="AG93" t="str">
        <f>HYPERLINK("http://www.ncbi.nlm.nih.gov/sutils/blink.cgi?pid=70909659","1E-104")</f>
        <v>1E-104</v>
      </c>
      <c r="AH93" t="str">
        <f>HYPERLINK("http://www.ncbi.nlm.nih.gov/protein/70909659","gi|70909659")</f>
        <v>gi|70909659</v>
      </c>
      <c r="AI93">
        <v>380</v>
      </c>
      <c r="AJ93">
        <v>196</v>
      </c>
      <c r="AK93">
        <v>218</v>
      </c>
      <c r="AL93">
        <v>90</v>
      </c>
      <c r="AM93">
        <v>90</v>
      </c>
      <c r="AN93" t="s">
        <v>67</v>
      </c>
      <c r="AO93" s="4" t="str">
        <f>HYPERLINK("http://exon.niaid.nih.gov/transcriptome/C_felis/S2/links/SWISSP/Cf-203-SWISSP.txt","60S ribosomal protein L10")</f>
        <v>60S ribosomal protein L10</v>
      </c>
      <c r="AP93" t="str">
        <f>HYPERLINK("http://www.uniprot.org/uniprot/O96647","1E-103")</f>
        <v>1E-103</v>
      </c>
      <c r="AQ93" t="s">
        <v>269</v>
      </c>
      <c r="AR93">
        <v>373</v>
      </c>
      <c r="AS93">
        <v>194</v>
      </c>
      <c r="AT93">
        <v>219</v>
      </c>
      <c r="AU93">
        <v>90</v>
      </c>
      <c r="AV93">
        <v>89</v>
      </c>
      <c r="AW93" t="s">
        <v>270</v>
      </c>
      <c r="AX93" s="4" t="s">
        <v>271</v>
      </c>
      <c r="AY93">
        <f>HYPERLINK("http://exon.niaid.nih.gov/transcriptome/C_felis/S2/links/GO/Cf-203-GO.txt",0)</f>
        <v>0</v>
      </c>
      <c r="AZ93" t="str">
        <f t="shared" si="30"/>
        <v>GO:0003735</v>
      </c>
      <c r="BA93" t="s">
        <v>53</v>
      </c>
      <c r="BB93" t="s">
        <v>54</v>
      </c>
      <c r="BC93" t="s">
        <v>55</v>
      </c>
      <c r="BD93" t="s">
        <v>7</v>
      </c>
      <c r="BF93" s="5">
        <v>9.9999999999999996E-104</v>
      </c>
      <c r="BG93" t="str">
        <f>HYPERLINK("http://amigo.geneontology.org/cgi-bin/amigo/term_details?term=GO:0022625","GO:0022625")</f>
        <v>GO:0022625</v>
      </c>
      <c r="BH93" t="s">
        <v>56</v>
      </c>
      <c r="BI93" t="s">
        <v>57</v>
      </c>
      <c r="BJ93" t="s">
        <v>58</v>
      </c>
      <c r="BK93" t="s">
        <v>7</v>
      </c>
      <c r="BM93" s="5">
        <v>9.9999999999999996E-104</v>
      </c>
      <c r="BN93" t="str">
        <f t="shared" si="31"/>
        <v>GO:0006412</v>
      </c>
      <c r="BO93" t="s">
        <v>59</v>
      </c>
      <c r="BP93" t="s">
        <v>60</v>
      </c>
      <c r="BQ93" t="s">
        <v>61</v>
      </c>
      <c r="BR93" t="s">
        <v>7</v>
      </c>
      <c r="BT93" s="5">
        <v>9.9999999999999996E-104</v>
      </c>
      <c r="BU93" s="4" t="str">
        <f>HYPERLINK("http://exon.niaid.nih.gov/transcriptome/C_felis/S2/links/KOG/Cf-203-KOG.txt","60s ribosomal protein L10")</f>
        <v>60s ribosomal protein L10</v>
      </c>
      <c r="BV93" t="str">
        <f>HYPERLINK("http://www.ncbi.nlm.nih.gov/COG/grace/shokog.cgi?KOG0857","3E-074")</f>
        <v>3E-074</v>
      </c>
      <c r="BW93" t="s">
        <v>62</v>
      </c>
      <c r="BX93" t="str">
        <f>HYPERLINK("http://exon.niaid.nih.gov/transcriptome/C_felis/S2/links/KOG/Cf-203-KOG.txt","KOG0857")</f>
        <v>KOG0857</v>
      </c>
      <c r="BY93" s="4" t="str">
        <f>HYPERLINK("http://exon.niaid.nih.gov/transcriptome/C_felis/S2/links/CDD/Cf-203-CDD.txt","PTZ00173")</f>
        <v>PTZ00173</v>
      </c>
      <c r="BZ93" t="str">
        <f>HYPERLINK("http://www.ncbi.nlm.nih.gov/Structure/cdd/cddsrv.cgi?uid=PTZ00173&amp;version=v4.0","3E-096")</f>
        <v>3E-096</v>
      </c>
      <c r="CA93" t="s">
        <v>272</v>
      </c>
      <c r="CB93" s="4" t="str">
        <f>HYPERLINK("http://exon.niaid.nih.gov/transcriptome/C_felis/S2/links/PFAM/Cf-203-PFAM.txt","Ribosomal_L16")</f>
        <v>Ribosomal_L16</v>
      </c>
      <c r="CC93" t="str">
        <f>HYPERLINK("http://pfam.sanger.ac.uk/family?acc=PF00252","1E-022")</f>
        <v>1E-022</v>
      </c>
      <c r="CD93" s="4" t="str">
        <f>HYPERLINK("http://exon.niaid.nih.gov/transcriptome/C_felis/S2/links/SMART/Cf-203-SMART.txt","DED")</f>
        <v>DED</v>
      </c>
      <c r="CE93" t="str">
        <f>HYPERLINK("http://smart.embl-heidelberg.de/smart/do_annotation.pl?DOMAIN=DED&amp;BLAST=DUMMY","0.078")</f>
        <v>0.078</v>
      </c>
      <c r="CF93" s="4" t="s">
        <v>7</v>
      </c>
      <c r="CG93" t="s">
        <v>7</v>
      </c>
      <c r="CH93" t="s">
        <v>7</v>
      </c>
      <c r="CI93" t="s">
        <v>7</v>
      </c>
      <c r="CJ93" t="s">
        <v>7</v>
      </c>
      <c r="CK93" s="7">
        <v>49</v>
      </c>
      <c r="CL93" s="2">
        <v>1</v>
      </c>
      <c r="CM93" s="7">
        <v>49</v>
      </c>
      <c r="CN93" s="2">
        <v>1</v>
      </c>
      <c r="CO93" s="7">
        <v>49</v>
      </c>
      <c r="CP93" s="2">
        <v>1</v>
      </c>
      <c r="CQ93" s="7">
        <v>36</v>
      </c>
      <c r="CR93" s="2">
        <v>1</v>
      </c>
      <c r="CS93" s="7">
        <v>41</v>
      </c>
      <c r="CT93" s="2">
        <v>1</v>
      </c>
      <c r="CU93" s="7">
        <v>48</v>
      </c>
      <c r="CV93" s="2">
        <v>1</v>
      </c>
      <c r="CW93" s="7">
        <v>47</v>
      </c>
      <c r="CX93" s="2">
        <v>1</v>
      </c>
      <c r="CY93" s="7">
        <v>50</v>
      </c>
      <c r="CZ93" s="2">
        <v>1</v>
      </c>
      <c r="DA93" s="7">
        <v>52</v>
      </c>
      <c r="DB93" s="2">
        <v>1</v>
      </c>
      <c r="DC93" s="7">
        <v>53</v>
      </c>
      <c r="DD93" s="2">
        <v>1</v>
      </c>
      <c r="DE93" s="7">
        <v>52</v>
      </c>
      <c r="DF93" s="2">
        <v>1</v>
      </c>
      <c r="DG93" s="7">
        <v>52</v>
      </c>
      <c r="DH93" s="2">
        <v>1</v>
      </c>
      <c r="DI93" s="7">
        <v>53</v>
      </c>
      <c r="DJ93" s="2">
        <v>1</v>
      </c>
      <c r="DK93" s="7">
        <v>53</v>
      </c>
      <c r="DL93" s="2">
        <v>1</v>
      </c>
      <c r="DM93" s="7">
        <v>55</v>
      </c>
      <c r="DN93" s="2">
        <v>1</v>
      </c>
      <c r="DO93" s="7">
        <v>54</v>
      </c>
      <c r="DP93" s="2">
        <v>1</v>
      </c>
      <c r="DQ93" s="7">
        <v>54</v>
      </c>
      <c r="DR93" s="2">
        <v>1</v>
      </c>
      <c r="DS93" s="7">
        <v>55</v>
      </c>
      <c r="DT93" s="2">
        <v>1</v>
      </c>
    </row>
    <row r="94" spans="1:124" x14ac:dyDescent="0.2">
      <c r="A94" t="str">
        <f>HYPERLINK("http://exon.niaid.nih.gov/transcriptome/C_felis/S2/links/pep/Cf-162-pep.txt","Cf-162")</f>
        <v>Cf-162</v>
      </c>
      <c r="B94" s="2">
        <v>5</v>
      </c>
      <c r="C94">
        <v>84</v>
      </c>
      <c r="D94" t="str">
        <f>HYPERLINK("http://exon.niaid.nih.gov/transcriptome/C_felis/S2/links/cds/Cf-162-cds.txt","Cf-162")</f>
        <v>Cf-162</v>
      </c>
      <c r="E94">
        <v>255</v>
      </c>
      <c r="F94" t="s">
        <v>474</v>
      </c>
      <c r="G94">
        <v>0</v>
      </c>
      <c r="I94" s="2" t="s">
        <v>5</v>
      </c>
      <c r="J94" s="2" t="s">
        <v>3</v>
      </c>
      <c r="K94" s="20" t="str">
        <f>HYPERLINK("http://exon.niaid.nih.gov/transcriptome/C_felis/S2/links/Sigp/Cf-162-SigP.txt","CYT")</f>
        <v>CYT</v>
      </c>
      <c r="L94" s="2" t="s">
        <v>7</v>
      </c>
      <c r="M94" s="2">
        <v>9.3979999999999997</v>
      </c>
      <c r="N94" s="2">
        <v>10.27</v>
      </c>
      <c r="O94" s="2" t="s">
        <v>7</v>
      </c>
      <c r="P94" s="2" t="s">
        <v>7</v>
      </c>
      <c r="Q94" s="24" t="s">
        <v>580</v>
      </c>
      <c r="R94" s="20">
        <v>0</v>
      </c>
      <c r="S94" s="2" t="s">
        <v>7</v>
      </c>
      <c r="T94" s="2" t="s">
        <v>7</v>
      </c>
      <c r="U94" s="2" t="s">
        <v>7</v>
      </c>
      <c r="V94" s="2" t="s">
        <v>7</v>
      </c>
      <c r="W94" s="2" t="s">
        <v>7</v>
      </c>
      <c r="X94" s="20" t="str">
        <f>HYPERLINK("http://exon.niaid.nih.gov/transcriptome/C_felis/S2/links/netoglyc/CF-162-netoglyc.txt","1")</f>
        <v>1</v>
      </c>
      <c r="Y94" s="2">
        <v>17.899999999999999</v>
      </c>
      <c r="Z94" s="2">
        <v>9.5</v>
      </c>
      <c r="AA94" s="2" t="s">
        <v>570</v>
      </c>
      <c r="AB94" t="s">
        <v>437</v>
      </c>
      <c r="AC94" t="s">
        <v>438</v>
      </c>
      <c r="AD94" t="s">
        <v>474</v>
      </c>
      <c r="AE94" s="2">
        <v>5</v>
      </c>
      <c r="AF94" s="4" t="str">
        <f>HYPERLINK("http://exon.niaid.nih.gov/transcriptome/C_felis/S2/links/NR/Cf-162-NR.txt","60S ribosomal protein L37a")</f>
        <v>60S ribosomal protein L37a</v>
      </c>
      <c r="AG94" t="str">
        <f>HYPERLINK("http://www.ncbi.nlm.nih.gov/sutils/blink.cgi?pid=169931071","2E-040")</f>
        <v>2E-040</v>
      </c>
      <c r="AH94" t="str">
        <f>HYPERLINK("http://www.ncbi.nlm.nih.gov/protein/169931071","gi|169931071")</f>
        <v>gi|169931071</v>
      </c>
      <c r="AI94">
        <v>168</v>
      </c>
      <c r="AJ94">
        <v>83</v>
      </c>
      <c r="AK94">
        <v>92</v>
      </c>
      <c r="AL94">
        <v>92</v>
      </c>
      <c r="AM94">
        <v>91</v>
      </c>
      <c r="AN94" t="s">
        <v>210</v>
      </c>
      <c r="AO94" s="4" t="str">
        <f>HYPERLINK("http://exon.niaid.nih.gov/transcriptome/C_felis/S2/links/SWISSP/Cf-162-SWISSP.txt","60S ribosomal protein L37a")</f>
        <v>60S ribosomal protein L37a</v>
      </c>
      <c r="AP94" t="str">
        <f>HYPERLINK("http://www.uniprot.org/uniprot/Q9VMU4","1E-040")</f>
        <v>1E-040</v>
      </c>
      <c r="AQ94" t="s">
        <v>211</v>
      </c>
      <c r="AR94">
        <v>164</v>
      </c>
      <c r="AS94">
        <v>83</v>
      </c>
      <c r="AT94">
        <v>92</v>
      </c>
      <c r="AU94">
        <v>91</v>
      </c>
      <c r="AV94">
        <v>91</v>
      </c>
      <c r="AW94" t="s">
        <v>52</v>
      </c>
      <c r="AX94" s="4" t="s">
        <v>212</v>
      </c>
      <c r="AY94">
        <f>HYPERLINK("http://exon.niaid.nih.gov/transcriptome/C_felis/S2/links/GO/Cf-162-GO.txt",8E-41)</f>
        <v>8E-41</v>
      </c>
      <c r="AZ94" t="str">
        <f t="shared" si="30"/>
        <v>GO:0003735</v>
      </c>
      <c r="BA94" t="s">
        <v>53</v>
      </c>
      <c r="BB94" t="s">
        <v>54</v>
      </c>
      <c r="BC94" t="s">
        <v>55</v>
      </c>
      <c r="BD94" t="s">
        <v>7</v>
      </c>
      <c r="BF94" s="5">
        <v>8E-41</v>
      </c>
      <c r="BG94" t="str">
        <f>HYPERLINK("http://amigo.geneontology.org/cgi-bin/amigo/term_details?term=GO:0022625","GO:0022625")</f>
        <v>GO:0022625</v>
      </c>
      <c r="BH94" t="s">
        <v>56</v>
      </c>
      <c r="BI94" t="s">
        <v>57</v>
      </c>
      <c r="BJ94" t="s">
        <v>58</v>
      </c>
      <c r="BK94" t="s">
        <v>7</v>
      </c>
      <c r="BM94" s="5">
        <v>8E-41</v>
      </c>
      <c r="BN94" t="str">
        <f t="shared" si="31"/>
        <v>GO:0006412</v>
      </c>
      <c r="BO94" t="s">
        <v>59</v>
      </c>
      <c r="BP94" t="s">
        <v>60</v>
      </c>
      <c r="BQ94" t="s">
        <v>61</v>
      </c>
      <c r="BR94" t="s">
        <v>7</v>
      </c>
      <c r="BT94" s="5">
        <v>8E-41</v>
      </c>
      <c r="BU94" s="4" t="str">
        <f>HYPERLINK("http://exon.niaid.nih.gov/transcriptome/C_felis/S2/links/KOG/Cf-162-KOG.txt","60S ribosomal protein L37")</f>
        <v>60S ribosomal protein L37</v>
      </c>
      <c r="BV94" t="str">
        <f>HYPERLINK("http://www.ncbi.nlm.nih.gov/COG/grace/shokog.cgi?KOG0402","4E-027")</f>
        <v>4E-027</v>
      </c>
      <c r="BW94" t="s">
        <v>62</v>
      </c>
      <c r="BX94" t="str">
        <f>HYPERLINK("http://exon.niaid.nih.gov/transcriptome/C_felis/S2/links/KOG/Cf-162-KOG.txt","KOG0402")</f>
        <v>KOG0402</v>
      </c>
      <c r="BY94" s="4" t="str">
        <f>HYPERLINK("http://exon.niaid.nih.gov/transcriptome/C_felis/S2/links/CDD/Cf-162-CDD.txt","Ribosomal_L37ae")</f>
        <v>Ribosomal_L37ae</v>
      </c>
      <c r="BZ94" t="str">
        <f>HYPERLINK("http://www.ncbi.nlm.nih.gov/Structure/cdd/cddsrv.cgi?uid=pfam01780&amp;version=v4.0","9E-029")</f>
        <v>9E-029</v>
      </c>
      <c r="CA94" t="s">
        <v>213</v>
      </c>
      <c r="CB94" s="4" t="str">
        <f>HYPERLINK("http://exon.niaid.nih.gov/transcriptome/C_felis/S2/links/PFAM/Cf-162-PFAM.txt","Ribosomal_L37ae")</f>
        <v>Ribosomal_L37ae</v>
      </c>
      <c r="CC94" t="str">
        <f>HYPERLINK("http://pfam.sanger.ac.uk/family?acc=PF01780","2E-029")</f>
        <v>2E-029</v>
      </c>
      <c r="CD94" s="4" t="str">
        <f>HYPERLINK("http://exon.niaid.nih.gov/transcriptome/C_felis/S2/links/SMART/Cf-162-SMART.txt","BASIC")</f>
        <v>BASIC</v>
      </c>
      <c r="CE94" t="str">
        <f>HYPERLINK("http://smart.embl-heidelberg.de/smart/do_annotation.pl?DOMAIN=BASIC&amp;BLAST=DUMMY","0.20")</f>
        <v>0.20</v>
      </c>
      <c r="CF94" s="4" t="s">
        <v>7</v>
      </c>
      <c r="CG94" t="s">
        <v>7</v>
      </c>
      <c r="CH94" t="s">
        <v>7</v>
      </c>
      <c r="CI94" t="s">
        <v>7</v>
      </c>
      <c r="CJ94" t="s">
        <v>7</v>
      </c>
      <c r="CK94" s="7">
        <v>33</v>
      </c>
      <c r="CL94" s="2">
        <v>1</v>
      </c>
      <c r="CM94" s="7">
        <v>33</v>
      </c>
      <c r="CN94" s="2">
        <v>1</v>
      </c>
      <c r="CO94" s="7">
        <v>33</v>
      </c>
      <c r="CP94" s="2">
        <v>1</v>
      </c>
      <c r="CQ94" s="7">
        <v>30</v>
      </c>
      <c r="CR94" s="2">
        <v>1</v>
      </c>
      <c r="CS94" s="7">
        <v>30</v>
      </c>
      <c r="CT94" s="2">
        <v>1</v>
      </c>
      <c r="CU94" s="7">
        <v>35</v>
      </c>
      <c r="CV94" s="2">
        <v>1</v>
      </c>
      <c r="CW94" s="7">
        <v>34</v>
      </c>
      <c r="CX94" s="2">
        <v>1</v>
      </c>
      <c r="CY94" s="7">
        <v>35</v>
      </c>
      <c r="CZ94" s="2">
        <v>1</v>
      </c>
      <c r="DA94" s="7">
        <v>35</v>
      </c>
      <c r="DB94" s="2">
        <v>1</v>
      </c>
      <c r="DC94" s="7">
        <v>34</v>
      </c>
      <c r="DD94" s="2">
        <v>1</v>
      </c>
      <c r="DE94" s="7">
        <v>33</v>
      </c>
      <c r="DF94" s="2">
        <v>1</v>
      </c>
      <c r="DG94" s="7">
        <v>33</v>
      </c>
      <c r="DH94" s="2">
        <v>1</v>
      </c>
      <c r="DI94" s="7">
        <v>34</v>
      </c>
      <c r="DJ94" s="2">
        <v>1</v>
      </c>
      <c r="DK94" s="7">
        <v>34</v>
      </c>
      <c r="DL94" s="2">
        <v>1</v>
      </c>
      <c r="DM94" s="7">
        <v>36</v>
      </c>
      <c r="DN94" s="2">
        <v>1</v>
      </c>
      <c r="DO94" s="7">
        <v>34</v>
      </c>
      <c r="DP94" s="2">
        <v>1</v>
      </c>
      <c r="DQ94" s="7">
        <v>34</v>
      </c>
      <c r="DR94" s="2">
        <v>1</v>
      </c>
      <c r="DS94" s="7">
        <v>33</v>
      </c>
      <c r="DT94" s="2">
        <v>1</v>
      </c>
    </row>
    <row r="95" spans="1:124" x14ac:dyDescent="0.2">
      <c r="A95" t="str">
        <f>HYPERLINK("http://exon.niaid.nih.gov/transcriptome/C_felis/S2/links/pep/Cf-214-pep.txt","Cf-214")</f>
        <v>Cf-214</v>
      </c>
      <c r="B95" s="2">
        <v>2</v>
      </c>
      <c r="C95">
        <v>102</v>
      </c>
      <c r="D95" t="str">
        <f>HYPERLINK("http://exon.niaid.nih.gov/transcriptome/C_felis/S2/links/cds/Cf-214-cds.txt","Cf-214")</f>
        <v>Cf-214</v>
      </c>
      <c r="E95">
        <v>309</v>
      </c>
      <c r="F95" t="s">
        <v>494</v>
      </c>
      <c r="G95">
        <v>0</v>
      </c>
      <c r="I95" s="2" t="s">
        <v>15</v>
      </c>
      <c r="J95" s="2" t="s">
        <v>3</v>
      </c>
      <c r="K95" s="20" t="str">
        <f>HYPERLINK("http://exon.niaid.nih.gov/transcriptome/C_felis/S2/links/Sigp/Cf-214-SigP.txt","CYT")</f>
        <v>CYT</v>
      </c>
      <c r="L95" s="2" t="s">
        <v>7</v>
      </c>
      <c r="M95" s="2">
        <v>11.34</v>
      </c>
      <c r="N95" s="2">
        <v>9.5500000000000007</v>
      </c>
      <c r="O95" s="2" t="s">
        <v>7</v>
      </c>
      <c r="P95" s="2" t="s">
        <v>7</v>
      </c>
      <c r="Q95" s="24" t="s">
        <v>556</v>
      </c>
      <c r="R95" s="20">
        <v>0</v>
      </c>
      <c r="S95" s="2" t="s">
        <v>7</v>
      </c>
      <c r="T95" s="2" t="s">
        <v>7</v>
      </c>
      <c r="U95" s="2" t="s">
        <v>7</v>
      </c>
      <c r="V95" s="2" t="s">
        <v>7</v>
      </c>
      <c r="W95" s="2" t="s">
        <v>7</v>
      </c>
      <c r="X95" s="20" t="str">
        <f>HYPERLINK("http://exon.niaid.nih.gov/transcriptome/C_felis/S2/links/netoglyc/CF-214-netoglyc.txt","1")</f>
        <v>1</v>
      </c>
      <c r="Y95" s="2">
        <v>13.7</v>
      </c>
      <c r="Z95" s="2">
        <v>7.8</v>
      </c>
      <c r="AA95" s="2">
        <v>4.9000000000000004</v>
      </c>
      <c r="AB95" t="s">
        <v>437</v>
      </c>
      <c r="AC95" t="s">
        <v>438</v>
      </c>
      <c r="AD95" t="s">
        <v>494</v>
      </c>
      <c r="AE95" s="2">
        <v>2</v>
      </c>
      <c r="AF95" s="4" t="str">
        <f>HYPERLINK("http://exon.niaid.nih.gov/transcriptome/C_felis/S2/links/NR/Cf-214-NR.txt","ribosomal protein L30")</f>
        <v>ribosomal protein L30</v>
      </c>
      <c r="AG95" t="str">
        <f>HYPERLINK("http://www.ncbi.nlm.nih.gov/sutils/blink.cgi?pid=22758848","1E-047")</f>
        <v>1E-047</v>
      </c>
      <c r="AH95" t="str">
        <f>HYPERLINK("http://www.ncbi.nlm.nih.gov/protein/22758848","gi|22758848")</f>
        <v>gi|22758848</v>
      </c>
      <c r="AI95">
        <v>192</v>
      </c>
      <c r="AJ95">
        <v>100</v>
      </c>
      <c r="AK95">
        <v>114</v>
      </c>
      <c r="AL95">
        <v>93</v>
      </c>
      <c r="AM95">
        <v>89</v>
      </c>
      <c r="AN95" t="s">
        <v>282</v>
      </c>
      <c r="AO95" s="4" t="str">
        <f>HYPERLINK("http://exon.niaid.nih.gov/transcriptome/C_felis/S2/links/SWISSP/Cf-214-SWISSP.txt","60S ribosomal protein L30")</f>
        <v>60S ribosomal protein L30</v>
      </c>
      <c r="AP95" t="str">
        <f>HYPERLINK("http://www.uniprot.org/uniprot/P58375","4E-047")</f>
        <v>4E-047</v>
      </c>
      <c r="AQ95" t="s">
        <v>283</v>
      </c>
      <c r="AR95">
        <v>186</v>
      </c>
      <c r="AS95">
        <v>98</v>
      </c>
      <c r="AT95">
        <v>113</v>
      </c>
      <c r="AU95">
        <v>89</v>
      </c>
      <c r="AV95">
        <v>88</v>
      </c>
      <c r="AW95" t="s">
        <v>68</v>
      </c>
      <c r="AX95" s="4" t="s">
        <v>284</v>
      </c>
      <c r="AY95">
        <f>HYPERLINK("http://exon.niaid.nih.gov/transcriptome/C_felis/S2/links/GO/Cf-214-GO.txt",5E-43)</f>
        <v>5.0000000000000002E-43</v>
      </c>
      <c r="AZ95" t="str">
        <f t="shared" si="30"/>
        <v>GO:0003735</v>
      </c>
      <c r="BA95" t="s">
        <v>53</v>
      </c>
      <c r="BB95" t="s">
        <v>54</v>
      </c>
      <c r="BC95" t="s">
        <v>55</v>
      </c>
      <c r="BD95" t="s">
        <v>7</v>
      </c>
      <c r="BF95" s="5">
        <v>5.0000000000000002E-43</v>
      </c>
      <c r="BG95" t="str">
        <f>HYPERLINK("http://amigo.geneontology.org/cgi-bin/amigo/term_details?term=GO:0005622","GO:0005622")</f>
        <v>GO:0005622</v>
      </c>
      <c r="BH95" t="s">
        <v>128</v>
      </c>
      <c r="BI95" t="s">
        <v>129</v>
      </c>
      <c r="BJ95" t="s">
        <v>130</v>
      </c>
      <c r="BK95" t="s">
        <v>7</v>
      </c>
      <c r="BM95" s="5">
        <v>5.0000000000000002E-43</v>
      </c>
      <c r="BN95" t="str">
        <f t="shared" si="31"/>
        <v>GO:0006412</v>
      </c>
      <c r="BO95" t="s">
        <v>59</v>
      </c>
      <c r="BP95" t="s">
        <v>60</v>
      </c>
      <c r="BQ95" t="s">
        <v>61</v>
      </c>
      <c r="BR95" t="s">
        <v>7</v>
      </c>
      <c r="BT95" s="5">
        <v>5.0000000000000002E-43</v>
      </c>
      <c r="BU95" s="4" t="str">
        <f>HYPERLINK("http://exon.niaid.nih.gov/transcriptome/C_felis/S2/links/KOG/Cf-214-KOG.txt","60S ribosomal protein L30")</f>
        <v>60S ribosomal protein L30</v>
      </c>
      <c r="BV95" t="str">
        <f>HYPERLINK("http://www.ncbi.nlm.nih.gov/COG/grace/shokog.cgi?KOG2988","2E-042")</f>
        <v>2E-042</v>
      </c>
      <c r="BW95" t="s">
        <v>62</v>
      </c>
      <c r="BX95" t="str">
        <f>HYPERLINK("http://exon.niaid.nih.gov/transcriptome/C_felis/S2/links/KOG/Cf-214-KOG.txt","KOG2988")</f>
        <v>KOG2988</v>
      </c>
      <c r="BY95" s="4" t="str">
        <f>HYPERLINK("http://exon.niaid.nih.gov/transcriptome/C_felis/S2/links/CDD/Cf-214-CDD.txt","PTZ00106")</f>
        <v>PTZ00106</v>
      </c>
      <c r="BZ95" t="str">
        <f>HYPERLINK("http://www.ncbi.nlm.nih.gov/Structure/cdd/cddsrv.cgi?uid=PTZ00106&amp;version=v4.0","3E-049")</f>
        <v>3E-049</v>
      </c>
      <c r="CA95" t="s">
        <v>285</v>
      </c>
      <c r="CB95" s="4" t="str">
        <f>HYPERLINK("http://exon.niaid.nih.gov/transcriptome/C_felis/S2/links/PFAM/Cf-214-PFAM.txt","Ribosomal_L7Ae")</f>
        <v>Ribosomal_L7Ae</v>
      </c>
      <c r="CC95" t="str">
        <f>HYPERLINK("http://pfam.sanger.ac.uk/family?acc=PF01248","2E-023")</f>
        <v>2E-023</v>
      </c>
      <c r="CD95" s="4" t="str">
        <f>HYPERLINK("http://exon.niaid.nih.gov/transcriptome/C_felis/S2/links/SMART/Cf-214-SMART.txt","POL3Bc")</f>
        <v>POL3Bc</v>
      </c>
      <c r="CE95" t="str">
        <f>HYPERLINK("http://smart.embl-heidelberg.de/smart/do_annotation.pl?DOMAIN=POL3Bc&amp;BLAST=DUMMY","0.65")</f>
        <v>0.65</v>
      </c>
      <c r="CF95" s="4" t="s">
        <v>7</v>
      </c>
      <c r="CG95" t="s">
        <v>7</v>
      </c>
      <c r="CH95" t="s">
        <v>7</v>
      </c>
      <c r="CI95" t="s">
        <v>7</v>
      </c>
      <c r="CJ95" t="s">
        <v>7</v>
      </c>
      <c r="CK95" s="7">
        <f>HYPERLINK("http://exon.niaid.nih.gov/transcriptome/C_felis/S2/links/cluster/cf-pep95-2-Id-CLU14.txt", 14)</f>
        <v>14</v>
      </c>
      <c r="CL95" s="2">
        <f>HYPERLINK("http://exon.niaid.nih.gov/transcriptome/C_felis/S2/links/cluster/cf-pep95-2-Id-CLTL14.txt", 2)</f>
        <v>2</v>
      </c>
      <c r="CM95" s="7">
        <f>HYPERLINK("http://exon.niaid.nih.gov/transcriptome/C_felis/S2/links/cluster/cf-pep100-3-Id-CLU14.txt", 14)</f>
        <v>14</v>
      </c>
      <c r="CN95" s="2">
        <f>HYPERLINK("http://exon.niaid.nih.gov/transcriptome/C_felis/S2/links/cluster/cf-pep100-3-Id-CLTL14.txt", 2)</f>
        <v>2</v>
      </c>
      <c r="CO95" s="7">
        <f>HYPERLINK("http://exon.niaid.nih.gov/transcriptome/C_felis/S2/links/cluster/cf-pep100-4-Id-CLU14.txt", 14)</f>
        <v>14</v>
      </c>
      <c r="CP95" s="2">
        <f>HYPERLINK("http://exon.niaid.nih.gov/transcriptome/C_felis/S2/links/cluster/cf-pep100-4-Id-CLTL14.txt", 2)</f>
        <v>2</v>
      </c>
      <c r="CQ95" s="7">
        <f>HYPERLINK("http://exon.niaid.nih.gov/transcriptome/C_felis/S2/links/cluster/cf-pep25-50-Sim-CLU14.txt", 14)</f>
        <v>14</v>
      </c>
      <c r="CR95" s="2">
        <f>HYPERLINK("http://exon.niaid.nih.gov/transcriptome/C_felis/S2/links/cluster/cf-pep25-50-Sim-CLTL14.txt", 2)</f>
        <v>2</v>
      </c>
      <c r="CS95" s="7">
        <f>HYPERLINK("http://exon.niaid.nih.gov/transcriptome/C_felis/S2/links/cluster/cf-pep30-50-Sim-CLU15.txt", 15)</f>
        <v>15</v>
      </c>
      <c r="CT95" s="2">
        <f>HYPERLINK("http://exon.niaid.nih.gov/transcriptome/C_felis/S2/links/cluster/cf-pep30-50-Sim-CLTL15.txt", 2)</f>
        <v>2</v>
      </c>
      <c r="CU95" s="7">
        <f>HYPERLINK("http://exon.niaid.nih.gov/transcriptome/C_felis/S2/links/cluster/cf-pep35-50-Sim-CLU15.txt", 15)</f>
        <v>15</v>
      </c>
      <c r="CV95" s="2">
        <f>HYPERLINK("http://exon.niaid.nih.gov/transcriptome/C_felis/S2/links/cluster/cf-pep35-50-Sim-CLTL15.txt", 2)</f>
        <v>2</v>
      </c>
      <c r="CW95" s="7">
        <f>HYPERLINK("http://exon.niaid.nih.gov/transcriptome/C_felis/S2/links/cluster/cf-pep40-50-Sim-CLU14.txt", 14)</f>
        <v>14</v>
      </c>
      <c r="CX95" s="2">
        <f>HYPERLINK("http://exon.niaid.nih.gov/transcriptome/C_felis/S2/links/cluster/cf-pep40-50-Sim-CLTL14.txt", 2)</f>
        <v>2</v>
      </c>
      <c r="CY95" s="7">
        <f>HYPERLINK("http://exon.niaid.nih.gov/transcriptome/C_felis/S2/links/cluster/cf-pep45-50-Sim-CLU15.txt", 15)</f>
        <v>15</v>
      </c>
      <c r="CZ95" s="2">
        <f>HYPERLINK("http://exon.niaid.nih.gov/transcriptome/C_felis/S2/links/cluster/cf-pep45-50-Sim-CLTL15.txt", 2)</f>
        <v>2</v>
      </c>
      <c r="DA95" s="7">
        <f>HYPERLINK("http://exon.niaid.nih.gov/transcriptome/C_felis/S2/links/cluster/cf-pep50-50-Sim-CLU16.txt", 16)</f>
        <v>16</v>
      </c>
      <c r="DB95" s="2">
        <f>HYPERLINK("http://exon.niaid.nih.gov/transcriptome/C_felis/S2/links/cluster/cf-pep50-50-Sim-CLTL16.txt", 2)</f>
        <v>2</v>
      </c>
      <c r="DC95" s="7">
        <f>HYPERLINK("http://exon.niaid.nih.gov/transcriptome/C_felis/S2/links/cluster/cf-pep55-50-Sim-CLU14.txt", 14)</f>
        <v>14</v>
      </c>
      <c r="DD95" s="2">
        <f>HYPERLINK("http://exon.niaid.nih.gov/transcriptome/C_felis/S2/links/cluster/cf-pep55-50-Sim-CLTL14.txt", 2)</f>
        <v>2</v>
      </c>
      <c r="DE95" s="7">
        <f>HYPERLINK("http://exon.niaid.nih.gov/transcriptome/C_felis/S2/links/cluster/cf-pep60-50-Sim-CLU12.txt", 12)</f>
        <v>12</v>
      </c>
      <c r="DF95" s="2">
        <f>HYPERLINK("http://exon.niaid.nih.gov/transcriptome/C_felis/S2/links/cluster/cf-pep60-50-Sim-CLTL12.txt", 2)</f>
        <v>2</v>
      </c>
      <c r="DG95" s="7">
        <f>HYPERLINK("http://exon.niaid.nih.gov/transcriptome/C_felis/S2/links/cluster/cf-pep65-50-Sim-CLU10.txt", 10)</f>
        <v>10</v>
      </c>
      <c r="DH95" s="2">
        <f>HYPERLINK("http://exon.niaid.nih.gov/transcriptome/C_felis/S2/links/cluster/cf-pep65-50-Sim-CLTL10.txt", 2)</f>
        <v>2</v>
      </c>
      <c r="DI95" s="7">
        <f>HYPERLINK("http://exon.niaid.nih.gov/transcriptome/C_felis/S2/links/cluster/cf-pep70-50-Sim-CLU10.txt", 10)</f>
        <v>10</v>
      </c>
      <c r="DJ95" s="2">
        <f>HYPERLINK("http://exon.niaid.nih.gov/transcriptome/C_felis/S2/links/cluster/cf-pep70-50-Sim-CLTL10.txt", 2)</f>
        <v>2</v>
      </c>
      <c r="DK95" s="7">
        <f>HYPERLINK("http://exon.niaid.nih.gov/transcriptome/C_felis/S2/links/cluster/cf-pep75-50-Sim-CLU9.txt", 9)</f>
        <v>9</v>
      </c>
      <c r="DL95" s="2">
        <f>HYPERLINK("http://exon.niaid.nih.gov/transcriptome/C_felis/S2/links/cluster/cf-pep75-50-Sim-CLTL9.txt", 2)</f>
        <v>2</v>
      </c>
      <c r="DM95" s="7">
        <f>HYPERLINK("http://exon.niaid.nih.gov/transcriptome/C_felis/S2/links/cluster/cf-pep80-50-Sim-CLU8.txt", 8)</f>
        <v>8</v>
      </c>
      <c r="DN95" s="2">
        <f>HYPERLINK("http://exon.niaid.nih.gov/transcriptome/C_felis/S2/links/cluster/cf-pep80-50-Sim-CLTL8.txt", 2)</f>
        <v>2</v>
      </c>
      <c r="DO95" s="7">
        <v>59</v>
      </c>
      <c r="DP95" s="2">
        <v>1</v>
      </c>
      <c r="DQ95" s="7">
        <v>59</v>
      </c>
      <c r="DR95" s="2">
        <v>1</v>
      </c>
      <c r="DS95" s="7">
        <v>60</v>
      </c>
      <c r="DT95" s="2">
        <v>1</v>
      </c>
    </row>
    <row r="96" spans="1:124" x14ac:dyDescent="0.2">
      <c r="A96" t="str">
        <f>HYPERLINK("http://exon.niaid.nih.gov/transcriptome/C_felis/S2/links/pep/Cf-215-pep.txt","Cf-215")</f>
        <v>Cf-215</v>
      </c>
      <c r="B96" s="2">
        <v>1</v>
      </c>
      <c r="C96">
        <v>87</v>
      </c>
      <c r="D96" t="str">
        <f>HYPERLINK("http://exon.niaid.nih.gov/transcriptome/C_felis/S2/links/cds/Cf-215-cds.txt","Cf-215")</f>
        <v>Cf-215</v>
      </c>
      <c r="E96">
        <v>264</v>
      </c>
      <c r="F96" t="s">
        <v>494</v>
      </c>
      <c r="G96">
        <v>0</v>
      </c>
      <c r="I96" s="2" t="s">
        <v>4</v>
      </c>
      <c r="J96" s="2" t="s">
        <v>3</v>
      </c>
      <c r="K96" s="20" t="str">
        <f>HYPERLINK("http://exon.niaid.nih.gov/transcriptome/C_felis/S2/links/Sigp/Cf-215-SigP.txt","CYT")</f>
        <v>CYT</v>
      </c>
      <c r="L96" s="2" t="s">
        <v>7</v>
      </c>
      <c r="M96" s="2">
        <v>9.5549999999999997</v>
      </c>
      <c r="N96" s="2">
        <v>9.23</v>
      </c>
      <c r="O96" s="2" t="s">
        <v>7</v>
      </c>
      <c r="P96" s="2" t="s">
        <v>7</v>
      </c>
      <c r="Q96" s="24" t="s">
        <v>556</v>
      </c>
      <c r="R96" s="20">
        <v>0</v>
      </c>
      <c r="S96" s="2" t="s">
        <v>7</v>
      </c>
      <c r="T96" s="2" t="s">
        <v>7</v>
      </c>
      <c r="U96" s="2" t="s">
        <v>7</v>
      </c>
      <c r="V96" s="2" t="s">
        <v>7</v>
      </c>
      <c r="W96" s="2" t="s">
        <v>7</v>
      </c>
      <c r="X96" s="20" t="str">
        <f>HYPERLINK("http://exon.niaid.nih.gov/transcriptome/C_felis/S2/links/netoglyc/CF-215-netoglyc.txt","1")</f>
        <v>1</v>
      </c>
      <c r="Y96" s="2">
        <v>16.100000000000001</v>
      </c>
      <c r="Z96" s="2">
        <v>9.1999999999999993</v>
      </c>
      <c r="AA96" s="2">
        <v>4.5999999999999996</v>
      </c>
      <c r="AB96" t="s">
        <v>437</v>
      </c>
      <c r="AC96" t="s">
        <v>438</v>
      </c>
      <c r="AD96" t="s">
        <v>494</v>
      </c>
      <c r="AE96" s="2">
        <v>1</v>
      </c>
      <c r="AF96" s="4" t="str">
        <f>HYPERLINK("http://exon.niaid.nih.gov/transcriptome/C_felis/S2/links/NR/Cf-215-NR.txt","ribosomal protein L30")</f>
        <v>ribosomal protein L30</v>
      </c>
      <c r="AG96" t="str">
        <f>HYPERLINK("http://www.ncbi.nlm.nih.gov/sutils/blink.cgi?pid=22758848","6E-039")</f>
        <v>6E-039</v>
      </c>
      <c r="AH96" t="str">
        <f>HYPERLINK("http://www.ncbi.nlm.nih.gov/protein/22758848","gi|22758848")</f>
        <v>gi|22758848</v>
      </c>
      <c r="AI96">
        <v>164</v>
      </c>
      <c r="AJ96">
        <v>84</v>
      </c>
      <c r="AK96">
        <v>114</v>
      </c>
      <c r="AL96">
        <v>91</v>
      </c>
      <c r="AM96">
        <v>75</v>
      </c>
      <c r="AN96" t="s">
        <v>282</v>
      </c>
      <c r="AO96" s="4" t="str">
        <f>HYPERLINK("http://exon.niaid.nih.gov/transcriptome/C_felis/S2/links/SWISSP/Cf-215-SWISSP.txt","60S ribosomal protein L30")</f>
        <v>60S ribosomal protein L30</v>
      </c>
      <c r="AP96" t="str">
        <f>HYPERLINK("http://www.uniprot.org/uniprot/P58375","2E-037")</f>
        <v>2E-037</v>
      </c>
      <c r="AQ96" t="s">
        <v>283</v>
      </c>
      <c r="AR96">
        <v>154</v>
      </c>
      <c r="AS96">
        <v>82</v>
      </c>
      <c r="AT96">
        <v>113</v>
      </c>
      <c r="AU96">
        <v>86</v>
      </c>
      <c r="AV96">
        <v>73</v>
      </c>
      <c r="AW96" t="s">
        <v>68</v>
      </c>
      <c r="AX96" s="4" t="s">
        <v>284</v>
      </c>
      <c r="AY96">
        <f>HYPERLINK("http://exon.niaid.nih.gov/transcriptome/C_felis/S2/links/GO/Cf-215-GO.txt",5E-35)</f>
        <v>4.9999999999999996E-35</v>
      </c>
      <c r="AZ96" t="str">
        <f t="shared" si="30"/>
        <v>GO:0003735</v>
      </c>
      <c r="BA96" t="s">
        <v>53</v>
      </c>
      <c r="BB96" t="s">
        <v>54</v>
      </c>
      <c r="BC96" t="s">
        <v>55</v>
      </c>
      <c r="BD96" t="s">
        <v>7</v>
      </c>
      <c r="BF96" s="5">
        <v>4.9999999999999996E-35</v>
      </c>
      <c r="BG96" t="str">
        <f>HYPERLINK("http://amigo.geneontology.org/cgi-bin/amigo/term_details?term=GO:0005622","GO:0005622")</f>
        <v>GO:0005622</v>
      </c>
      <c r="BH96" t="s">
        <v>128</v>
      </c>
      <c r="BI96" t="s">
        <v>129</v>
      </c>
      <c r="BJ96" t="s">
        <v>130</v>
      </c>
      <c r="BK96" t="s">
        <v>7</v>
      </c>
      <c r="BM96" s="5">
        <v>4.9999999999999996E-35</v>
      </c>
      <c r="BN96" t="str">
        <f t="shared" si="31"/>
        <v>GO:0006412</v>
      </c>
      <c r="BO96" t="s">
        <v>59</v>
      </c>
      <c r="BP96" t="s">
        <v>60</v>
      </c>
      <c r="BQ96" t="s">
        <v>61</v>
      </c>
      <c r="BR96" t="s">
        <v>7</v>
      </c>
      <c r="BT96" s="5">
        <v>4.9999999999999996E-35</v>
      </c>
      <c r="BU96" s="4" t="str">
        <f>HYPERLINK("http://exon.niaid.nih.gov/transcriptome/C_felis/S2/links/KOG/Cf-215-KOG.txt","60S ribosomal protein L30")</f>
        <v>60S ribosomal protein L30</v>
      </c>
      <c r="BV96" t="str">
        <f>HYPERLINK("http://www.ncbi.nlm.nih.gov/COG/grace/shokog.cgi?KOG2988","2E-034")</f>
        <v>2E-034</v>
      </c>
      <c r="BW96" t="s">
        <v>62</v>
      </c>
      <c r="BX96" t="str">
        <f>HYPERLINK("http://exon.niaid.nih.gov/transcriptome/C_felis/S2/links/KOG/Cf-215-KOG.txt","KOG2988")</f>
        <v>KOG2988</v>
      </c>
      <c r="BY96" s="4" t="str">
        <f>HYPERLINK("http://exon.niaid.nih.gov/transcriptome/C_felis/S2/links/CDD/Cf-215-CDD.txt","PTZ00106")</f>
        <v>PTZ00106</v>
      </c>
      <c r="BZ96" t="str">
        <f>HYPERLINK("http://www.ncbi.nlm.nih.gov/Structure/cdd/cddsrv.cgi?uid=PTZ00106&amp;version=v4.0","4E-038")</f>
        <v>4E-038</v>
      </c>
      <c r="CA96" t="s">
        <v>286</v>
      </c>
      <c r="CB96" s="4" t="str">
        <f>HYPERLINK("http://exon.niaid.nih.gov/transcriptome/C_felis/S2/links/PFAM/Cf-215-PFAM.txt","Ribosomal_L7Ae")</f>
        <v>Ribosomal_L7Ae</v>
      </c>
      <c r="CC96" t="str">
        <f>HYPERLINK("http://pfam.sanger.ac.uk/family?acc=PF01248","5E-018")</f>
        <v>5E-018</v>
      </c>
      <c r="CD96" s="4" t="str">
        <f>HYPERLINK("http://exon.niaid.nih.gov/transcriptome/C_felis/S2/links/SMART/Cf-215-SMART.txt","POL3Bc")</f>
        <v>POL3Bc</v>
      </c>
      <c r="CE96" t="str">
        <f>HYPERLINK("http://smart.embl-heidelberg.de/smart/do_annotation.pl?DOMAIN=POL3Bc&amp;BLAST=DUMMY","0.46")</f>
        <v>0.46</v>
      </c>
      <c r="CF96" s="4" t="s">
        <v>7</v>
      </c>
      <c r="CG96" t="s">
        <v>7</v>
      </c>
      <c r="CH96" t="s">
        <v>7</v>
      </c>
      <c r="CI96" t="s">
        <v>7</v>
      </c>
      <c r="CJ96" t="s">
        <v>7</v>
      </c>
      <c r="CK96" s="7">
        <f>HYPERLINK("http://exon.niaid.nih.gov/transcriptome/C_felis/S2/links/cluster/cf-pep95-2-Id-CLU14.txt", 14)</f>
        <v>14</v>
      </c>
      <c r="CL96" s="2">
        <f>HYPERLINK("http://exon.niaid.nih.gov/transcriptome/C_felis/S2/links/cluster/cf-pep95-2-Id-CLTL14.txt", 2)</f>
        <v>2</v>
      </c>
      <c r="CM96" s="7">
        <f>HYPERLINK("http://exon.niaid.nih.gov/transcriptome/C_felis/S2/links/cluster/cf-pep100-3-Id-CLU14.txt", 14)</f>
        <v>14</v>
      </c>
      <c r="CN96" s="2">
        <f>HYPERLINK("http://exon.niaid.nih.gov/transcriptome/C_felis/S2/links/cluster/cf-pep100-3-Id-CLTL14.txt", 2)</f>
        <v>2</v>
      </c>
      <c r="CO96" s="7">
        <f>HYPERLINK("http://exon.niaid.nih.gov/transcriptome/C_felis/S2/links/cluster/cf-pep100-4-Id-CLU14.txt", 14)</f>
        <v>14</v>
      </c>
      <c r="CP96" s="2">
        <f>HYPERLINK("http://exon.niaid.nih.gov/transcriptome/C_felis/S2/links/cluster/cf-pep100-4-Id-CLTL14.txt", 2)</f>
        <v>2</v>
      </c>
      <c r="CQ96" s="7">
        <f>HYPERLINK("http://exon.niaid.nih.gov/transcriptome/C_felis/S2/links/cluster/cf-pep25-50-Sim-CLU14.txt", 14)</f>
        <v>14</v>
      </c>
      <c r="CR96" s="2">
        <f>HYPERLINK("http://exon.niaid.nih.gov/transcriptome/C_felis/S2/links/cluster/cf-pep25-50-Sim-CLTL14.txt", 2)</f>
        <v>2</v>
      </c>
      <c r="CS96" s="7">
        <f>HYPERLINK("http://exon.niaid.nih.gov/transcriptome/C_felis/S2/links/cluster/cf-pep30-50-Sim-CLU15.txt", 15)</f>
        <v>15</v>
      </c>
      <c r="CT96" s="2">
        <f>HYPERLINK("http://exon.niaid.nih.gov/transcriptome/C_felis/S2/links/cluster/cf-pep30-50-Sim-CLTL15.txt", 2)</f>
        <v>2</v>
      </c>
      <c r="CU96" s="7">
        <f>HYPERLINK("http://exon.niaid.nih.gov/transcriptome/C_felis/S2/links/cluster/cf-pep35-50-Sim-CLU15.txt", 15)</f>
        <v>15</v>
      </c>
      <c r="CV96" s="2">
        <f>HYPERLINK("http://exon.niaid.nih.gov/transcriptome/C_felis/S2/links/cluster/cf-pep35-50-Sim-CLTL15.txt", 2)</f>
        <v>2</v>
      </c>
      <c r="CW96" s="7">
        <f>HYPERLINK("http://exon.niaid.nih.gov/transcriptome/C_felis/S2/links/cluster/cf-pep40-50-Sim-CLU14.txt", 14)</f>
        <v>14</v>
      </c>
      <c r="CX96" s="2">
        <f>HYPERLINK("http://exon.niaid.nih.gov/transcriptome/C_felis/S2/links/cluster/cf-pep40-50-Sim-CLTL14.txt", 2)</f>
        <v>2</v>
      </c>
      <c r="CY96" s="7">
        <f>HYPERLINK("http://exon.niaid.nih.gov/transcriptome/C_felis/S2/links/cluster/cf-pep45-50-Sim-CLU15.txt", 15)</f>
        <v>15</v>
      </c>
      <c r="CZ96" s="2">
        <f>HYPERLINK("http://exon.niaid.nih.gov/transcriptome/C_felis/S2/links/cluster/cf-pep45-50-Sim-CLTL15.txt", 2)</f>
        <v>2</v>
      </c>
      <c r="DA96" s="7">
        <f>HYPERLINK("http://exon.niaid.nih.gov/transcriptome/C_felis/S2/links/cluster/cf-pep50-50-Sim-CLU16.txt", 16)</f>
        <v>16</v>
      </c>
      <c r="DB96" s="2">
        <f>HYPERLINK("http://exon.niaid.nih.gov/transcriptome/C_felis/S2/links/cluster/cf-pep50-50-Sim-CLTL16.txt", 2)</f>
        <v>2</v>
      </c>
      <c r="DC96" s="7">
        <f>HYPERLINK("http://exon.niaid.nih.gov/transcriptome/C_felis/S2/links/cluster/cf-pep55-50-Sim-CLU14.txt", 14)</f>
        <v>14</v>
      </c>
      <c r="DD96" s="2">
        <f>HYPERLINK("http://exon.niaid.nih.gov/transcriptome/C_felis/S2/links/cluster/cf-pep55-50-Sim-CLTL14.txt", 2)</f>
        <v>2</v>
      </c>
      <c r="DE96" s="7">
        <f>HYPERLINK("http://exon.niaid.nih.gov/transcriptome/C_felis/S2/links/cluster/cf-pep60-50-Sim-CLU12.txt", 12)</f>
        <v>12</v>
      </c>
      <c r="DF96" s="2">
        <f>HYPERLINK("http://exon.niaid.nih.gov/transcriptome/C_felis/S2/links/cluster/cf-pep60-50-Sim-CLTL12.txt", 2)</f>
        <v>2</v>
      </c>
      <c r="DG96" s="7">
        <f>HYPERLINK("http://exon.niaid.nih.gov/transcriptome/C_felis/S2/links/cluster/cf-pep65-50-Sim-CLU10.txt", 10)</f>
        <v>10</v>
      </c>
      <c r="DH96" s="2">
        <f>HYPERLINK("http://exon.niaid.nih.gov/transcriptome/C_felis/S2/links/cluster/cf-pep65-50-Sim-CLTL10.txt", 2)</f>
        <v>2</v>
      </c>
      <c r="DI96" s="7">
        <f>HYPERLINK("http://exon.niaid.nih.gov/transcriptome/C_felis/S2/links/cluster/cf-pep70-50-Sim-CLU10.txt", 10)</f>
        <v>10</v>
      </c>
      <c r="DJ96" s="2">
        <f>HYPERLINK("http://exon.niaid.nih.gov/transcriptome/C_felis/S2/links/cluster/cf-pep70-50-Sim-CLTL10.txt", 2)</f>
        <v>2</v>
      </c>
      <c r="DK96" s="7">
        <f>HYPERLINK("http://exon.niaid.nih.gov/transcriptome/C_felis/S2/links/cluster/cf-pep75-50-Sim-CLU9.txt", 9)</f>
        <v>9</v>
      </c>
      <c r="DL96" s="2">
        <f>HYPERLINK("http://exon.niaid.nih.gov/transcriptome/C_felis/S2/links/cluster/cf-pep75-50-Sim-CLTL9.txt", 2)</f>
        <v>2</v>
      </c>
      <c r="DM96" s="7">
        <f>HYPERLINK("http://exon.niaid.nih.gov/transcriptome/C_felis/S2/links/cluster/cf-pep80-50-Sim-CLU8.txt", 8)</f>
        <v>8</v>
      </c>
      <c r="DN96" s="2">
        <f>HYPERLINK("http://exon.niaid.nih.gov/transcriptome/C_felis/S2/links/cluster/cf-pep80-50-Sim-CLTL8.txt", 2)</f>
        <v>2</v>
      </c>
      <c r="DO96" s="7">
        <v>60</v>
      </c>
      <c r="DP96" s="2">
        <v>1</v>
      </c>
      <c r="DQ96" s="7">
        <v>60</v>
      </c>
      <c r="DR96" s="2">
        <v>1</v>
      </c>
      <c r="DS96" s="7">
        <v>61</v>
      </c>
      <c r="DT96" s="2">
        <v>1</v>
      </c>
    </row>
    <row r="97" spans="1:124" x14ac:dyDescent="0.2">
      <c r="A97" t="str">
        <f>HYPERLINK("http://exon.niaid.nih.gov/transcriptome/C_felis/S2/links/pep/Cf-192-pep.txt","Cf-192")</f>
        <v>Cf-192</v>
      </c>
      <c r="B97" s="2">
        <v>4</v>
      </c>
      <c r="C97">
        <v>79</v>
      </c>
      <c r="D97" t="str">
        <f>HYPERLINK("http://exon.niaid.nih.gov/transcriptome/C_felis/S2/links/cds/Cf-192-cds.txt","Cf-192")</f>
        <v>Cf-192</v>
      </c>
      <c r="E97">
        <v>240</v>
      </c>
      <c r="F97" t="s">
        <v>488</v>
      </c>
      <c r="G97">
        <v>0</v>
      </c>
      <c r="I97" s="2" t="s">
        <v>5</v>
      </c>
      <c r="J97" s="2" t="s">
        <v>3</v>
      </c>
      <c r="K97" s="20" t="str">
        <f>HYPERLINK("http://exon.niaid.nih.gov/transcriptome/C_felis/S2/links/Sigp/Cf-192-SigP.txt","CYT")</f>
        <v>CYT</v>
      </c>
      <c r="L97" s="2" t="s">
        <v>7</v>
      </c>
      <c r="M97" s="2">
        <v>9.1519999999999992</v>
      </c>
      <c r="N97" s="2">
        <v>10.28</v>
      </c>
      <c r="O97" s="2" t="s">
        <v>7</v>
      </c>
      <c r="P97" s="2" t="s">
        <v>7</v>
      </c>
      <c r="Q97" s="24" t="s">
        <v>583</v>
      </c>
      <c r="R97" s="20">
        <v>0</v>
      </c>
      <c r="S97" s="2" t="s">
        <v>7</v>
      </c>
      <c r="T97" s="2" t="s">
        <v>7</v>
      </c>
      <c r="U97" s="2" t="s">
        <v>7</v>
      </c>
      <c r="V97" s="2" t="s">
        <v>7</v>
      </c>
      <c r="W97" s="2" t="s">
        <v>7</v>
      </c>
      <c r="X97" s="20" t="str">
        <f>HYPERLINK("http://exon.niaid.nih.gov/transcriptome/C_felis/S2/links/netoglyc/CF-192-netoglyc.txt","0")</f>
        <v>0</v>
      </c>
      <c r="Y97" s="2">
        <v>10.1</v>
      </c>
      <c r="Z97" s="2">
        <v>1.3</v>
      </c>
      <c r="AA97" s="2">
        <v>6.3</v>
      </c>
      <c r="AB97" t="s">
        <v>437</v>
      </c>
      <c r="AC97" t="s">
        <v>438</v>
      </c>
      <c r="AD97" t="s">
        <v>488</v>
      </c>
      <c r="AE97" s="2">
        <v>4</v>
      </c>
      <c r="AF97" s="4" t="str">
        <f>HYPERLINK("http://exon.niaid.nih.gov/transcriptome/C_felis/S2/links/NR/Cf-192-NR.txt","AGAP012100-PA")</f>
        <v>AGAP012100-PA</v>
      </c>
      <c r="AG97" t="str">
        <f>HYPERLINK("http://www.ncbi.nlm.nih.gov/sutils/blink.cgi?pid=118792636","2E-031")</f>
        <v>2E-031</v>
      </c>
      <c r="AH97" t="str">
        <f>HYPERLINK("http://www.ncbi.nlm.nih.gov/protein/118792636","gi|118792636")</f>
        <v>gi|118792636</v>
      </c>
      <c r="AI97">
        <v>139</v>
      </c>
      <c r="AJ97">
        <v>77</v>
      </c>
      <c r="AK97">
        <v>115</v>
      </c>
      <c r="AL97">
        <v>87</v>
      </c>
      <c r="AM97">
        <v>68</v>
      </c>
      <c r="AN97" t="s">
        <v>252</v>
      </c>
      <c r="AO97" s="4" t="str">
        <f>HYPERLINK("http://exon.niaid.nih.gov/transcriptome/C_felis/S2/links/SWISSP/Cf-192-SWISSP.txt","40S ribosomal protein S26")</f>
        <v>40S ribosomal protein S26</v>
      </c>
      <c r="AP97" t="str">
        <f>HYPERLINK("http://www.uniprot.org/uniprot/Q9GT45","7E-033")</f>
        <v>7E-033</v>
      </c>
      <c r="AQ97" t="s">
        <v>253</v>
      </c>
      <c r="AR97">
        <v>139</v>
      </c>
      <c r="AS97">
        <v>77</v>
      </c>
      <c r="AT97">
        <v>115</v>
      </c>
      <c r="AU97">
        <v>87</v>
      </c>
      <c r="AV97">
        <v>68</v>
      </c>
      <c r="AW97" t="s">
        <v>106</v>
      </c>
      <c r="AX97" s="4" t="s">
        <v>254</v>
      </c>
      <c r="AY97">
        <f>HYPERLINK("http://exon.niaid.nih.gov/transcriptome/C_felis/S2/links/GO/Cf-192-GO.txt",3E-29)</f>
        <v>3.0000000000000003E-29</v>
      </c>
      <c r="AZ97" t="str">
        <f t="shared" si="30"/>
        <v>GO:0003735</v>
      </c>
      <c r="BA97" t="s">
        <v>53</v>
      </c>
      <c r="BB97" t="s">
        <v>54</v>
      </c>
      <c r="BC97" t="s">
        <v>55</v>
      </c>
      <c r="BD97" t="s">
        <v>7</v>
      </c>
      <c r="BF97" s="5">
        <v>3.0000000000000003E-29</v>
      </c>
      <c r="BG97" t="str">
        <f>HYPERLINK("http://amigo.geneontology.org/cgi-bin/amigo/term_details?term=GO:0022627","GO:0022627")</f>
        <v>GO:0022627</v>
      </c>
      <c r="BH97" t="s">
        <v>79</v>
      </c>
      <c r="BI97" t="s">
        <v>80</v>
      </c>
      <c r="BJ97" t="s">
        <v>81</v>
      </c>
      <c r="BK97" t="s">
        <v>7</v>
      </c>
      <c r="BM97" s="5">
        <v>3.0000000000000003E-29</v>
      </c>
      <c r="BN97" t="str">
        <f t="shared" si="31"/>
        <v>GO:0006412</v>
      </c>
      <c r="BO97" t="s">
        <v>59</v>
      </c>
      <c r="BP97" t="s">
        <v>60</v>
      </c>
      <c r="BQ97" t="s">
        <v>61</v>
      </c>
      <c r="BR97" t="s">
        <v>7</v>
      </c>
      <c r="BT97" s="5">
        <v>3.0000000000000003E-29</v>
      </c>
      <c r="BU97" s="4" t="str">
        <f>HYPERLINK("http://exon.niaid.nih.gov/transcriptome/C_felis/S2/links/KOG/Cf-192-KOG.txt","40s ribosomal protein S26")</f>
        <v>40s ribosomal protein S26</v>
      </c>
      <c r="BV97" t="str">
        <f>HYPERLINK("http://www.ncbi.nlm.nih.gov/COG/grace/shokog.cgi?KOG1768","6E-022")</f>
        <v>6E-022</v>
      </c>
      <c r="BW97" t="s">
        <v>62</v>
      </c>
      <c r="BX97" t="str">
        <f>HYPERLINK("http://exon.niaid.nih.gov/transcriptome/C_felis/S2/links/KOG/Cf-192-KOG.txt","KOG1768")</f>
        <v>KOG1768</v>
      </c>
      <c r="BY97" s="4" t="str">
        <f>HYPERLINK("http://exon.niaid.nih.gov/transcriptome/C_felis/S2/links/CDD/Cf-192-CDD.txt","Ribosomal_S26e")</f>
        <v>Ribosomal_S26e</v>
      </c>
      <c r="BZ97" t="str">
        <f>HYPERLINK("http://www.ncbi.nlm.nih.gov/Structure/cdd/cddsrv.cgi?uid=pfam01283&amp;version=v4.0","6E-026")</f>
        <v>6E-026</v>
      </c>
      <c r="CA97" t="s">
        <v>255</v>
      </c>
      <c r="CB97" s="4" t="str">
        <f>HYPERLINK("http://exon.niaid.nih.gov/transcriptome/C_felis/S2/links/PFAM/Cf-192-PFAM.txt","Ribosomal_S26e")</f>
        <v>Ribosomal_S26e</v>
      </c>
      <c r="CC97" t="str">
        <f>HYPERLINK("http://pfam.sanger.ac.uk/family?acc=PF01283","1E-026")</f>
        <v>1E-026</v>
      </c>
      <c r="CD97" s="4" t="str">
        <f>HYPERLINK("http://exon.niaid.nih.gov/transcriptome/C_felis/S2/links/SMART/Cf-192-SMART.txt","H2A")</f>
        <v>H2A</v>
      </c>
      <c r="CE97" t="str">
        <f>HYPERLINK("http://smart.embl-heidelberg.de/smart/do_annotation.pl?DOMAIN=H2A&amp;BLAST=DUMMY","2.1")</f>
        <v>2.1</v>
      </c>
      <c r="CF97" s="4" t="s">
        <v>7</v>
      </c>
      <c r="CG97" t="s">
        <v>7</v>
      </c>
      <c r="CH97" t="s">
        <v>7</v>
      </c>
      <c r="CI97" t="s">
        <v>7</v>
      </c>
      <c r="CJ97" t="s">
        <v>7</v>
      </c>
      <c r="CK97" s="7">
        <v>46</v>
      </c>
      <c r="CL97" s="2">
        <v>1</v>
      </c>
      <c r="CM97" s="7">
        <v>46</v>
      </c>
      <c r="CN97" s="2">
        <v>1</v>
      </c>
      <c r="CO97" s="7">
        <v>46</v>
      </c>
      <c r="CP97" s="2">
        <v>1</v>
      </c>
      <c r="CQ97" s="7">
        <f>HYPERLINK("http://exon.niaid.nih.gov/transcriptome/C_felis/S2/links/cluster/cf-pep25-50-Sim-CLU2.txt", 2)</f>
        <v>2</v>
      </c>
      <c r="CR97" s="2">
        <f>HYPERLINK("http://exon.niaid.nih.gov/transcriptome/C_felis/S2/links/cluster/cf-pep25-50-Sim-CLTL2.txt", 34)</f>
        <v>34</v>
      </c>
      <c r="CS97" s="7">
        <v>38</v>
      </c>
      <c r="CT97" s="2">
        <v>1</v>
      </c>
      <c r="CU97" s="7">
        <v>45</v>
      </c>
      <c r="CV97" s="2">
        <v>1</v>
      </c>
      <c r="CW97" s="7">
        <v>44</v>
      </c>
      <c r="CX97" s="2">
        <v>1</v>
      </c>
      <c r="CY97" s="7">
        <v>47</v>
      </c>
      <c r="CZ97" s="2">
        <v>1</v>
      </c>
      <c r="DA97" s="7">
        <v>49</v>
      </c>
      <c r="DB97" s="2">
        <v>1</v>
      </c>
      <c r="DC97" s="7">
        <v>50</v>
      </c>
      <c r="DD97" s="2">
        <v>1</v>
      </c>
      <c r="DE97" s="7">
        <v>49</v>
      </c>
      <c r="DF97" s="2">
        <v>1</v>
      </c>
      <c r="DG97" s="7">
        <v>49</v>
      </c>
      <c r="DH97" s="2">
        <v>1</v>
      </c>
      <c r="DI97" s="7">
        <v>50</v>
      </c>
      <c r="DJ97" s="2">
        <v>1</v>
      </c>
      <c r="DK97" s="7">
        <v>50</v>
      </c>
      <c r="DL97" s="2">
        <v>1</v>
      </c>
      <c r="DM97" s="7">
        <v>52</v>
      </c>
      <c r="DN97" s="2">
        <v>1</v>
      </c>
      <c r="DO97" s="7">
        <v>51</v>
      </c>
      <c r="DP97" s="2">
        <v>1</v>
      </c>
      <c r="DQ97" s="7">
        <v>51</v>
      </c>
      <c r="DR97" s="2">
        <v>1</v>
      </c>
      <c r="DS97" s="7">
        <v>52</v>
      </c>
      <c r="DT97" s="2">
        <v>1</v>
      </c>
    </row>
    <row r="98" spans="1:124" x14ac:dyDescent="0.2">
      <c r="A98" t="str">
        <f>HYPERLINK("http://exon.niaid.nih.gov/transcriptome/C_felis/S2/links/pep/Cf-560-pep.txt","Cf-560")</f>
        <v>Cf-560</v>
      </c>
      <c r="B98" s="2">
        <v>1</v>
      </c>
      <c r="C98">
        <v>176</v>
      </c>
      <c r="D98" t="str">
        <f>HYPERLINK("http://exon.niaid.nih.gov/transcriptome/C_felis/S2/links/cds/Cf-560-cds.txt","Cf-560")</f>
        <v>Cf-560</v>
      </c>
      <c r="E98">
        <v>531</v>
      </c>
      <c r="F98" t="s">
        <v>450</v>
      </c>
      <c r="G98">
        <v>0.56818179999999996</v>
      </c>
      <c r="I98" s="2" t="s">
        <v>5</v>
      </c>
      <c r="J98" s="2" t="s">
        <v>3</v>
      </c>
      <c r="K98" s="20" t="str">
        <f>HYPERLINK("http://exon.niaid.nih.gov/transcriptome/C_felis/S2/links/Sigp/Cf-560-SigP.txt","CYT")</f>
        <v>CYT</v>
      </c>
      <c r="L98" s="2" t="s">
        <v>7</v>
      </c>
      <c r="M98" s="2">
        <v>19.683</v>
      </c>
      <c r="N98" s="2">
        <v>6.38</v>
      </c>
      <c r="O98" s="2" t="s">
        <v>7</v>
      </c>
      <c r="P98" s="2" t="s">
        <v>7</v>
      </c>
      <c r="Q98" s="24" t="s">
        <v>556</v>
      </c>
      <c r="R98" s="20">
        <v>0</v>
      </c>
      <c r="S98" s="2" t="s">
        <v>7</v>
      </c>
      <c r="T98" s="2" t="s">
        <v>7</v>
      </c>
      <c r="U98" s="2" t="s">
        <v>7</v>
      </c>
      <c r="V98" s="2" t="s">
        <v>7</v>
      </c>
      <c r="W98" s="2" t="s">
        <v>7</v>
      </c>
      <c r="X98" s="20" t="str">
        <f>HYPERLINK("http://exon.niaid.nih.gov/transcriptome/C_felis/S2/links/netoglyc/CF-560-netoglyc.txt","1")</f>
        <v>1</v>
      </c>
      <c r="Y98" s="2">
        <v>11.9</v>
      </c>
      <c r="Z98" s="2">
        <v>9.6999999999999993</v>
      </c>
      <c r="AA98" s="2">
        <v>5.7</v>
      </c>
      <c r="AB98" t="s">
        <v>437</v>
      </c>
      <c r="AC98" t="s">
        <v>438</v>
      </c>
      <c r="AD98" t="s">
        <v>450</v>
      </c>
      <c r="AE98" s="2">
        <v>1</v>
      </c>
      <c r="AF98" s="4" t="str">
        <f>HYPERLINK("http://exon.niaid.nih.gov/transcriptome/C_felis/S2/links/NR/Cf-560-NR.txt","hypothetical protein AND_14210")</f>
        <v>hypothetical protein AND_14210</v>
      </c>
      <c r="AG98" t="str">
        <f>HYPERLINK("http://www.ncbi.nlm.nih.gov/sutils/blink.cgi?pid=312375398","1E-063")</f>
        <v>1E-063</v>
      </c>
      <c r="AH98" t="str">
        <f>HYPERLINK("http://www.ncbi.nlm.nih.gov/protein/312375398","gi|312375398")</f>
        <v>gi|312375398</v>
      </c>
      <c r="AI98">
        <v>246</v>
      </c>
      <c r="AJ98">
        <v>164</v>
      </c>
      <c r="AK98">
        <v>241</v>
      </c>
      <c r="AL98">
        <v>69</v>
      </c>
      <c r="AM98">
        <v>68</v>
      </c>
      <c r="AN98" t="s">
        <v>107</v>
      </c>
      <c r="AO98" s="4" t="str">
        <f>HYPERLINK("http://exon.niaid.nih.gov/transcriptome/C_felis/S2/links/SWISSP/Cf-560-SWISSP.txt","Probable 39S ribosomal protein L24, mitochondrial")</f>
        <v>Probable 39S ribosomal protein L24, mitochondrial</v>
      </c>
      <c r="AP98" t="str">
        <f>HYPERLINK("http://www.uniprot.org/uniprot/Q29MA5","2E-060")</f>
        <v>2E-060</v>
      </c>
      <c r="AQ98" t="s">
        <v>108</v>
      </c>
      <c r="AR98">
        <v>231</v>
      </c>
      <c r="AS98">
        <v>164</v>
      </c>
      <c r="AT98">
        <v>247</v>
      </c>
      <c r="AU98">
        <v>65</v>
      </c>
      <c r="AV98">
        <v>67</v>
      </c>
      <c r="AW98" t="s">
        <v>109</v>
      </c>
      <c r="AX98" s="4" t="s">
        <v>110</v>
      </c>
      <c r="AY98">
        <f>HYPERLINK("http://exon.niaid.nih.gov/transcriptome/C_felis/S2/links/GO/Cf-560-GO.txt",1E-60)</f>
        <v>9.9999999999999997E-61</v>
      </c>
      <c r="AZ98" t="str">
        <f>HYPERLINK("http://amigo.geneontology.org/cgi-bin/amigo/term_details?term=GO:0003674","GO:0003674")</f>
        <v>GO:0003674</v>
      </c>
      <c r="BA98" t="s">
        <v>111</v>
      </c>
      <c r="BB98" t="s">
        <v>112</v>
      </c>
      <c r="BC98" t="s">
        <v>113</v>
      </c>
      <c r="BD98" t="s">
        <v>7</v>
      </c>
      <c r="BF98" s="5">
        <v>9.9999999999999997E-61</v>
      </c>
      <c r="BG98" t="str">
        <f>HYPERLINK("http://amigo.geneontology.org/cgi-bin/amigo/term_details?term=GO:0005575","GO:0005575")</f>
        <v>GO:0005575</v>
      </c>
      <c r="BH98" t="s">
        <v>114</v>
      </c>
      <c r="BI98" t="s">
        <v>115</v>
      </c>
      <c r="BJ98" t="s">
        <v>116</v>
      </c>
      <c r="BK98" t="s">
        <v>7</v>
      </c>
      <c r="BM98" s="5">
        <v>9.9999999999999997E-61</v>
      </c>
      <c r="BN98" t="str">
        <f>HYPERLINK("http://amigo.geneontology.org/cgi-bin/amigo/term_details?term=GO:0008150","GO:0008150")</f>
        <v>GO:0008150</v>
      </c>
      <c r="BO98" t="s">
        <v>117</v>
      </c>
      <c r="BP98" t="s">
        <v>118</v>
      </c>
      <c r="BQ98" t="s">
        <v>119</v>
      </c>
      <c r="BR98" t="s">
        <v>7</v>
      </c>
      <c r="BT98" s="5">
        <v>9.9999999999999997E-61</v>
      </c>
      <c r="BU98" s="4" t="str">
        <f>HYPERLINK("http://exon.niaid.nih.gov/transcriptome/C_felis/S2/links/KOG/Cf-560-KOG.txt","Mitochondrial/chloroplast ribosomal protein L24")</f>
        <v>Mitochondrial/chloroplast ribosomal protein L24</v>
      </c>
      <c r="BV98" t="str">
        <f>HYPERLINK("http://www.ncbi.nlm.nih.gov/COG/grace/shokog.cgi?KOG1708","1E-051")</f>
        <v>1E-051</v>
      </c>
      <c r="BW98" t="s">
        <v>62</v>
      </c>
      <c r="BX98" t="str">
        <f>HYPERLINK("http://exon.niaid.nih.gov/transcriptome/C_felis/S2/links/KOG/Cf-560-KOG.txt","KOG1708")</f>
        <v>KOG1708</v>
      </c>
      <c r="BY98" s="4" t="str">
        <f>HYPERLINK("http://exon.niaid.nih.gov/transcriptome/C_felis/S2/links/CDD/Cf-560-CDD.txt","rplX_bact")</f>
        <v>rplX_bact</v>
      </c>
      <c r="BZ98" t="str">
        <f>HYPERLINK("http://www.ncbi.nlm.nih.gov/Structure/cdd/cddsrv.cgi?uid=TIGR01079&amp;version=v4.0","2E-015")</f>
        <v>2E-015</v>
      </c>
      <c r="CA98" t="s">
        <v>120</v>
      </c>
      <c r="CB98" s="4" t="str">
        <f>HYPERLINK("http://exon.niaid.nih.gov/transcriptome/C_felis/S2/links/PFAM/Cf-560-PFAM.txt","KOW")</f>
        <v>KOW</v>
      </c>
      <c r="CC98" t="str">
        <f>HYPERLINK("http://pfam.sanger.ac.uk/family?acc=PF00467","0.002")</f>
        <v>0.002</v>
      </c>
      <c r="CD98" s="4" t="str">
        <f>HYPERLINK("http://exon.niaid.nih.gov/transcriptome/C_felis/S2/links/SMART/Cf-560-SMART.txt","KOW")</f>
        <v>KOW</v>
      </c>
      <c r="CE98" t="str">
        <f>HYPERLINK("http://smart.embl-heidelberg.de/smart/do_annotation.pl?DOMAIN=KOW&amp;BLAST=DUMMY","6E-004")</f>
        <v>6E-004</v>
      </c>
      <c r="CF98" s="4" t="s">
        <v>7</v>
      </c>
      <c r="CG98" t="s">
        <v>7</v>
      </c>
      <c r="CH98" t="s">
        <v>7</v>
      </c>
      <c r="CI98" t="s">
        <v>7</v>
      </c>
      <c r="CJ98" t="s">
        <v>7</v>
      </c>
      <c r="CK98" s="7">
        <v>125</v>
      </c>
      <c r="CL98" s="2">
        <v>1</v>
      </c>
      <c r="CM98" s="7">
        <v>125</v>
      </c>
      <c r="CN98" s="2">
        <v>1</v>
      </c>
      <c r="CO98" s="7">
        <v>125</v>
      </c>
      <c r="CP98" s="2">
        <v>1</v>
      </c>
      <c r="CQ98" s="7">
        <v>79</v>
      </c>
      <c r="CR98" s="2">
        <v>1</v>
      </c>
      <c r="CS98" s="7">
        <v>101</v>
      </c>
      <c r="CT98" s="2">
        <v>1</v>
      </c>
      <c r="CU98" s="7">
        <v>112</v>
      </c>
      <c r="CV98" s="2">
        <v>1</v>
      </c>
      <c r="CW98" s="7">
        <v>116</v>
      </c>
      <c r="CX98" s="2">
        <v>1</v>
      </c>
      <c r="CY98" s="7">
        <v>121</v>
      </c>
      <c r="CZ98" s="2">
        <v>1</v>
      </c>
      <c r="DA98" s="7">
        <v>126</v>
      </c>
      <c r="DB98" s="2">
        <v>1</v>
      </c>
      <c r="DC98" s="7">
        <v>128</v>
      </c>
      <c r="DD98" s="2">
        <v>1</v>
      </c>
      <c r="DE98" s="7">
        <v>131</v>
      </c>
      <c r="DF98" s="2">
        <v>1</v>
      </c>
      <c r="DG98" s="7">
        <v>134</v>
      </c>
      <c r="DH98" s="2">
        <v>1</v>
      </c>
      <c r="DI98" s="7">
        <v>135</v>
      </c>
      <c r="DJ98" s="2">
        <v>1</v>
      </c>
      <c r="DK98" s="7">
        <v>137</v>
      </c>
      <c r="DL98" s="2">
        <v>1</v>
      </c>
      <c r="DM98" s="7">
        <v>139</v>
      </c>
      <c r="DN98" s="2">
        <v>1</v>
      </c>
      <c r="DO98" s="7">
        <v>142</v>
      </c>
      <c r="DP98" s="2">
        <v>1</v>
      </c>
      <c r="DQ98" s="7">
        <v>144</v>
      </c>
      <c r="DR98" s="2">
        <v>1</v>
      </c>
      <c r="DS98" s="7">
        <v>146</v>
      </c>
      <c r="DT98" s="2">
        <v>1</v>
      </c>
    </row>
    <row r="99" spans="1:124" s="3" customFormat="1" x14ac:dyDescent="0.2">
      <c r="A99" s="14" t="s">
        <v>472</v>
      </c>
      <c r="K99" s="1" t="s">
        <v>7</v>
      </c>
      <c r="L99" s="3" t="s">
        <v>7</v>
      </c>
      <c r="M99" s="3" t="s">
        <v>7</v>
      </c>
      <c r="N99" s="3" t="s">
        <v>7</v>
      </c>
      <c r="O99" s="3" t="s">
        <v>7</v>
      </c>
      <c r="P99" s="3" t="s">
        <v>7</v>
      </c>
      <c r="Q99" s="23" t="s">
        <v>7</v>
      </c>
      <c r="R99" s="1" t="s">
        <v>7</v>
      </c>
      <c r="S99" s="3" t="s">
        <v>7</v>
      </c>
      <c r="T99" s="3" t="s">
        <v>7</v>
      </c>
      <c r="U99" s="3" t="s">
        <v>7</v>
      </c>
      <c r="V99" s="3" t="s">
        <v>7</v>
      </c>
      <c r="W99" s="3" t="s">
        <v>7</v>
      </c>
      <c r="X99" s="1" t="s">
        <v>7</v>
      </c>
      <c r="Y99" s="3" t="s">
        <v>7</v>
      </c>
      <c r="Z99" s="3" t="s">
        <v>7</v>
      </c>
      <c r="AA99" s="3" t="s">
        <v>7</v>
      </c>
      <c r="AF99" s="1"/>
      <c r="AO99" s="1"/>
      <c r="AX99" s="1"/>
      <c r="BU99" s="1"/>
      <c r="BY99" s="1"/>
      <c r="CB99" s="1"/>
      <c r="CD99" s="1"/>
      <c r="CF99" s="1"/>
      <c r="CK99" s="6"/>
      <c r="CM99" s="6"/>
      <c r="CO99" s="6"/>
      <c r="CQ99" s="6"/>
      <c r="CS99" s="6"/>
      <c r="CU99" s="6"/>
      <c r="CW99" s="6"/>
      <c r="CY99" s="6"/>
      <c r="DA99" s="6"/>
      <c r="DC99" s="6"/>
      <c r="DE99" s="6"/>
      <c r="DG99" s="6"/>
      <c r="DI99" s="6"/>
      <c r="DK99" s="6"/>
      <c r="DM99" s="6"/>
      <c r="DO99" s="6"/>
      <c r="DQ99" s="6"/>
      <c r="DS99" s="6"/>
    </row>
    <row r="100" spans="1:124" x14ac:dyDescent="0.2">
      <c r="A100" t="str">
        <f>HYPERLINK("http://exon.niaid.nih.gov/transcriptome/C_felis/S2/links/pep/Cf-155-pep.txt","Cf-155")</f>
        <v>Cf-155</v>
      </c>
      <c r="B100" s="2">
        <v>4</v>
      </c>
      <c r="C100">
        <v>188</v>
      </c>
      <c r="D100" t="str">
        <f>HYPERLINK("http://exon.niaid.nih.gov/transcriptome/C_felis/S2/links/cds/Cf-155-cds.txt","Cf-155")</f>
        <v>Cf-155</v>
      </c>
      <c r="E100">
        <v>567</v>
      </c>
      <c r="F100" t="s">
        <v>473</v>
      </c>
      <c r="G100">
        <v>0</v>
      </c>
      <c r="I100" s="2" t="s">
        <v>4</v>
      </c>
      <c r="J100" s="2" t="s">
        <v>3</v>
      </c>
      <c r="K100" s="20" t="str">
        <f>HYPERLINK("http://exon.niaid.nih.gov/transcriptome/C_felis/S2/links/Sigp/Cf-155-SigP.txt","CYT")</f>
        <v>CYT</v>
      </c>
      <c r="L100" s="2" t="s">
        <v>7</v>
      </c>
      <c r="M100" s="2">
        <v>20.350999999999999</v>
      </c>
      <c r="N100" s="2">
        <v>9.16</v>
      </c>
      <c r="O100" s="2" t="s">
        <v>7</v>
      </c>
      <c r="P100" s="2" t="s">
        <v>7</v>
      </c>
      <c r="Q100" s="24" t="s">
        <v>556</v>
      </c>
      <c r="R100" s="20">
        <v>0</v>
      </c>
      <c r="S100" s="2" t="s">
        <v>7</v>
      </c>
      <c r="T100" s="2" t="s">
        <v>7</v>
      </c>
      <c r="U100" s="2" t="s">
        <v>7</v>
      </c>
      <c r="V100" s="2" t="s">
        <v>7</v>
      </c>
      <c r="W100" s="2" t="s">
        <v>7</v>
      </c>
      <c r="X100" s="20" t="str">
        <f>HYPERLINK("http://exon.niaid.nih.gov/transcriptome/C_felis/S2/links/netoglyc/CF-155-netoglyc.txt","30")</f>
        <v>30</v>
      </c>
      <c r="Y100" s="2">
        <v>25</v>
      </c>
      <c r="Z100" s="2">
        <v>4.3</v>
      </c>
      <c r="AA100" s="2">
        <v>3.7</v>
      </c>
      <c r="AB100" t="s">
        <v>437</v>
      </c>
      <c r="AC100" t="s">
        <v>472</v>
      </c>
      <c r="AD100" t="s">
        <v>473</v>
      </c>
      <c r="AE100" s="2">
        <v>4</v>
      </c>
      <c r="AF100" s="4" t="str">
        <f>HYPERLINK("http://exon.niaid.nih.gov/transcriptome/C_felis/S2/links/NR/Cf-155-NR.txt","vitellogenin C")</f>
        <v>vitellogenin C</v>
      </c>
      <c r="AG100" t="str">
        <f>HYPERLINK("http://www.ncbi.nlm.nih.gov/sutils/blink.cgi?pid=54289297","2E-038")</f>
        <v>2E-038</v>
      </c>
      <c r="AH100" t="str">
        <f>HYPERLINK("http://www.ncbi.nlm.nih.gov/protein/54289297","gi|54289297")</f>
        <v>gi|54289297</v>
      </c>
      <c r="AI100">
        <v>162</v>
      </c>
      <c r="AJ100">
        <v>1696</v>
      </c>
      <c r="AK100">
        <v>2032</v>
      </c>
      <c r="AL100">
        <v>47</v>
      </c>
      <c r="AM100">
        <v>84</v>
      </c>
      <c r="AN100" t="s">
        <v>201</v>
      </c>
      <c r="AO100" s="4" t="str">
        <f>HYPERLINK("http://exon.niaid.nih.gov/transcriptome/C_felis/S2/links/SWISSP/Cf-155-SWISSP.txt","Vitellogenin-A1")</f>
        <v>Vitellogenin-A1</v>
      </c>
      <c r="AP100" t="str">
        <f>HYPERLINK("http://www.uniprot.org/uniprot/Q16927","8E-030")</f>
        <v>8E-030</v>
      </c>
      <c r="AQ100" t="s">
        <v>202</v>
      </c>
      <c r="AR100">
        <v>129</v>
      </c>
      <c r="AS100">
        <v>1758</v>
      </c>
      <c r="AT100">
        <v>2169</v>
      </c>
      <c r="AU100">
        <v>39</v>
      </c>
      <c r="AV100">
        <v>81</v>
      </c>
      <c r="AW100" t="s">
        <v>127</v>
      </c>
      <c r="AX100" s="4" t="s">
        <v>203</v>
      </c>
      <c r="AY100">
        <f>HYPERLINK("http://exon.niaid.nih.gov/transcriptome/C_felis/S2/links/GO/Cf-155-GO.txt",3E-20)</f>
        <v>3.0000000000000003E-20</v>
      </c>
      <c r="AZ100" t="str">
        <f>HYPERLINK("http://amigo.geneontology.org/cgi-bin/amigo/term_details?term=GO:0003674","GO:0003674")</f>
        <v>GO:0003674</v>
      </c>
      <c r="BA100" t="s">
        <v>111</v>
      </c>
      <c r="BB100" t="s">
        <v>112</v>
      </c>
      <c r="BC100" t="s">
        <v>113</v>
      </c>
      <c r="BD100" t="s">
        <v>7</v>
      </c>
      <c r="BF100" s="5">
        <v>3.0000000000000003E-20</v>
      </c>
      <c r="BG100" t="str">
        <f>HYPERLINK("http://amigo.geneontology.org/cgi-bin/amigo/term_details?term=GO:0005576","GO:0005576")</f>
        <v>GO:0005576</v>
      </c>
      <c r="BH100" t="s">
        <v>204</v>
      </c>
      <c r="BI100" t="s">
        <v>205</v>
      </c>
      <c r="BJ100" t="s">
        <v>206</v>
      </c>
      <c r="BK100" t="s">
        <v>7</v>
      </c>
      <c r="BM100" s="5">
        <v>3.0000000000000003E-20</v>
      </c>
      <c r="BN100" t="str">
        <f>HYPERLINK("http://amigo.geneontology.org/cgi-bin/amigo/term_details?term=GO:0008150","GO:0008150")</f>
        <v>GO:0008150</v>
      </c>
      <c r="BO100" t="s">
        <v>117</v>
      </c>
      <c r="BP100" t="s">
        <v>118</v>
      </c>
      <c r="BQ100" t="s">
        <v>119</v>
      </c>
      <c r="BR100" t="s">
        <v>7</v>
      </c>
      <c r="BT100" s="5">
        <v>3.0000000000000003E-20</v>
      </c>
      <c r="BU100" s="4" t="str">
        <f>HYPERLINK("http://exon.niaid.nih.gov/transcriptome/C_felis/S2/links/KOG/Cf-155-KOG.txt","Uncharacterized conserved protein")</f>
        <v>Uncharacterized conserved protein</v>
      </c>
      <c r="BV100" t="str">
        <f>HYPERLINK("http://www.ncbi.nlm.nih.gov/COG/grace/shokog.cgi?KOG2140","3E-005")</f>
        <v>3E-005</v>
      </c>
      <c r="BW100" t="s">
        <v>71</v>
      </c>
      <c r="BX100" t="str">
        <f>HYPERLINK("http://exon.niaid.nih.gov/transcriptome/C_felis/S2/links/KOG/Cf-155-KOG.txt","KOG2140")</f>
        <v>KOG2140</v>
      </c>
      <c r="BY100" s="4" t="str">
        <f>HYPERLINK("http://exon.niaid.nih.gov/transcriptome/C_felis/S2/links/CDD/Cf-155-CDD.txt","PHA03308")</f>
        <v>PHA03308</v>
      </c>
      <c r="BZ100" t="str">
        <f>HYPERLINK("http://www.ncbi.nlm.nih.gov/Structure/cdd/cddsrv.cgi?uid=PHA03308&amp;version=v4.0","3E-004")</f>
        <v>3E-004</v>
      </c>
      <c r="CA100" t="s">
        <v>207</v>
      </c>
      <c r="CB100" s="4" t="str">
        <f>HYPERLINK("http://exon.niaid.nih.gov/transcriptome/C_felis/S2/links/PFAM/Cf-155-PFAM.txt","DUF3633")</f>
        <v>DUF3633</v>
      </c>
      <c r="CC100" t="str">
        <f>HYPERLINK("http://pfam.sanger.ac.uk/family?acc=PF12315","5E-004")</f>
        <v>5E-004</v>
      </c>
      <c r="CD100" s="4" t="str">
        <f>HYPERLINK("http://exon.niaid.nih.gov/transcriptome/C_felis/S2/links/SMART/Cf-155-SMART.txt","ADEAMc")</f>
        <v>ADEAMc</v>
      </c>
      <c r="CE100" t="str">
        <f>HYPERLINK("http://smart.embl-heidelberg.de/smart/do_annotation.pl?DOMAIN=ADEAMc&amp;BLAST=DUMMY","0.036")</f>
        <v>0.036</v>
      </c>
      <c r="CF100" s="4" t="s">
        <v>7</v>
      </c>
      <c r="CG100" t="s">
        <v>7</v>
      </c>
      <c r="CH100" t="s">
        <v>7</v>
      </c>
      <c r="CI100" t="s">
        <v>7</v>
      </c>
      <c r="CJ100" t="s">
        <v>7</v>
      </c>
      <c r="CK100" s="7">
        <f>HYPERLINK("http://exon.niaid.nih.gov/transcriptome/C_felis/S2/links/cluster/cf-pep95-2-Id-CLU11.txt", 11)</f>
        <v>11</v>
      </c>
      <c r="CL100" s="2">
        <f>HYPERLINK("http://exon.niaid.nih.gov/transcriptome/C_felis/S2/links/cluster/cf-pep95-2-Id-CLTL11.txt", 2)</f>
        <v>2</v>
      </c>
      <c r="CM100" s="7">
        <f>HYPERLINK("http://exon.niaid.nih.gov/transcriptome/C_felis/S2/links/cluster/cf-pep100-3-Id-CLU11.txt", 11)</f>
        <v>11</v>
      </c>
      <c r="CN100" s="2">
        <f>HYPERLINK("http://exon.niaid.nih.gov/transcriptome/C_felis/S2/links/cluster/cf-pep100-3-Id-CLTL11.txt", 2)</f>
        <v>2</v>
      </c>
      <c r="CO100" s="7">
        <f>HYPERLINK("http://exon.niaid.nih.gov/transcriptome/C_felis/S2/links/cluster/cf-pep100-4-Id-CLU11.txt", 11)</f>
        <v>11</v>
      </c>
      <c r="CP100" s="2">
        <f>HYPERLINK("http://exon.niaid.nih.gov/transcriptome/C_felis/S2/links/cluster/cf-pep100-4-Id-CLTL11.txt", 2)</f>
        <v>2</v>
      </c>
      <c r="CQ100" s="7">
        <f>HYPERLINK("http://exon.niaid.nih.gov/transcriptome/C_felis/S2/links/cluster/cf-pep25-50-Sim-CLU12.txt", 12)</f>
        <v>12</v>
      </c>
      <c r="CR100" s="2">
        <f>HYPERLINK("http://exon.niaid.nih.gov/transcriptome/C_felis/S2/links/cluster/cf-pep25-50-Sim-CLTL12.txt", 2)</f>
        <v>2</v>
      </c>
      <c r="CS100" s="7">
        <f>HYPERLINK("http://exon.niaid.nih.gov/transcriptome/C_felis/S2/links/cluster/cf-pep30-50-Sim-CLU13.txt", 13)</f>
        <v>13</v>
      </c>
      <c r="CT100" s="2">
        <f>HYPERLINK("http://exon.niaid.nih.gov/transcriptome/C_felis/S2/links/cluster/cf-pep30-50-Sim-CLTL13.txt", 2)</f>
        <v>2</v>
      </c>
      <c r="CU100" s="7">
        <f>HYPERLINK("http://exon.niaid.nih.gov/transcriptome/C_felis/S2/links/cluster/cf-pep35-50-Sim-CLU13.txt", 13)</f>
        <v>13</v>
      </c>
      <c r="CV100" s="2">
        <f>HYPERLINK("http://exon.niaid.nih.gov/transcriptome/C_felis/S2/links/cluster/cf-pep35-50-Sim-CLTL13.txt", 2)</f>
        <v>2</v>
      </c>
      <c r="CW100" s="7">
        <f>HYPERLINK("http://exon.niaid.nih.gov/transcriptome/C_felis/S2/links/cluster/cf-pep40-50-Sim-CLU12.txt", 12)</f>
        <v>12</v>
      </c>
      <c r="CX100" s="2">
        <f>HYPERLINK("http://exon.niaid.nih.gov/transcriptome/C_felis/S2/links/cluster/cf-pep40-50-Sim-CLTL12.txt", 2)</f>
        <v>2</v>
      </c>
      <c r="CY100" s="7">
        <f>HYPERLINK("http://exon.niaid.nih.gov/transcriptome/C_felis/S2/links/cluster/cf-pep45-50-Sim-CLU13.txt", 13)</f>
        <v>13</v>
      </c>
      <c r="CZ100" s="2">
        <f>HYPERLINK("http://exon.niaid.nih.gov/transcriptome/C_felis/S2/links/cluster/cf-pep45-50-Sim-CLTL13.txt", 2)</f>
        <v>2</v>
      </c>
      <c r="DA100" s="7">
        <f>HYPERLINK("http://exon.niaid.nih.gov/transcriptome/C_felis/S2/links/cluster/cf-pep50-50-Sim-CLU14.txt", 14)</f>
        <v>14</v>
      </c>
      <c r="DB100" s="2">
        <f>HYPERLINK("http://exon.niaid.nih.gov/transcriptome/C_felis/S2/links/cluster/cf-pep50-50-Sim-CLTL14.txt", 2)</f>
        <v>2</v>
      </c>
      <c r="DC100" s="7">
        <f>HYPERLINK("http://exon.niaid.nih.gov/transcriptome/C_felis/S2/links/cluster/cf-pep55-50-Sim-CLU13.txt", 13)</f>
        <v>13</v>
      </c>
      <c r="DD100" s="2">
        <f>HYPERLINK("http://exon.niaid.nih.gov/transcriptome/C_felis/S2/links/cluster/cf-pep55-50-Sim-CLTL13.txt", 2)</f>
        <v>2</v>
      </c>
      <c r="DE100" s="7">
        <f>HYPERLINK("http://exon.niaid.nih.gov/transcriptome/C_felis/S2/links/cluster/cf-pep60-50-Sim-CLU11.txt", 11)</f>
        <v>11</v>
      </c>
      <c r="DF100" s="2">
        <f>HYPERLINK("http://exon.niaid.nih.gov/transcriptome/C_felis/S2/links/cluster/cf-pep60-50-Sim-CLTL11.txt", 2)</f>
        <v>2</v>
      </c>
      <c r="DG100" s="7">
        <f>HYPERLINK("http://exon.niaid.nih.gov/transcriptome/C_felis/S2/links/cluster/cf-pep65-50-Sim-CLU9.txt", 9)</f>
        <v>9</v>
      </c>
      <c r="DH100" s="2">
        <f>HYPERLINK("http://exon.niaid.nih.gov/transcriptome/C_felis/S2/links/cluster/cf-pep65-50-Sim-CLTL9.txt", 2)</f>
        <v>2</v>
      </c>
      <c r="DI100" s="7">
        <f>HYPERLINK("http://exon.niaid.nih.gov/transcriptome/C_felis/S2/links/cluster/cf-pep70-50-Sim-CLU9.txt", 9)</f>
        <v>9</v>
      </c>
      <c r="DJ100" s="2">
        <f>HYPERLINK("http://exon.niaid.nih.gov/transcriptome/C_felis/S2/links/cluster/cf-pep70-50-Sim-CLTL9.txt", 2)</f>
        <v>2</v>
      </c>
      <c r="DK100" s="7">
        <f>HYPERLINK("http://exon.niaid.nih.gov/transcriptome/C_felis/S2/links/cluster/cf-pep75-50-Sim-CLU8.txt", 8)</f>
        <v>8</v>
      </c>
      <c r="DL100" s="2">
        <f>HYPERLINK("http://exon.niaid.nih.gov/transcriptome/C_felis/S2/links/cluster/cf-pep75-50-Sim-CLTL8.txt", 2)</f>
        <v>2</v>
      </c>
      <c r="DM100" s="7">
        <v>33</v>
      </c>
      <c r="DN100" s="2">
        <v>1</v>
      </c>
      <c r="DO100" s="7">
        <v>31</v>
      </c>
      <c r="DP100" s="2">
        <v>1</v>
      </c>
      <c r="DQ100" s="7">
        <v>31</v>
      </c>
      <c r="DR100" s="2">
        <v>1</v>
      </c>
      <c r="DS100" s="7">
        <v>29</v>
      </c>
      <c r="DT100" s="2">
        <v>1</v>
      </c>
    </row>
    <row r="101" spans="1:124" s="3" customFormat="1" x14ac:dyDescent="0.2">
      <c r="A101" s="14" t="s">
        <v>447</v>
      </c>
      <c r="K101" s="1" t="s">
        <v>7</v>
      </c>
      <c r="L101" s="3" t="s">
        <v>7</v>
      </c>
      <c r="M101" s="3" t="s">
        <v>7</v>
      </c>
      <c r="N101" s="3" t="s">
        <v>7</v>
      </c>
      <c r="O101" s="3" t="s">
        <v>7</v>
      </c>
      <c r="P101" s="3" t="s">
        <v>7</v>
      </c>
      <c r="Q101" s="23" t="s">
        <v>7</v>
      </c>
      <c r="R101" s="1" t="s">
        <v>7</v>
      </c>
      <c r="S101" s="3" t="s">
        <v>7</v>
      </c>
      <c r="T101" s="3" t="s">
        <v>7</v>
      </c>
      <c r="U101" s="3" t="s">
        <v>7</v>
      </c>
      <c r="V101" s="3" t="s">
        <v>7</v>
      </c>
      <c r="W101" s="3" t="s">
        <v>7</v>
      </c>
      <c r="X101" s="1" t="s">
        <v>7</v>
      </c>
      <c r="Y101" s="3" t="s">
        <v>7</v>
      </c>
      <c r="Z101" s="3" t="s">
        <v>7</v>
      </c>
      <c r="AA101" s="3" t="s">
        <v>7</v>
      </c>
      <c r="AF101" s="1"/>
      <c r="AO101" s="1"/>
      <c r="AX101" s="1"/>
      <c r="BU101" s="1"/>
      <c r="BY101" s="1"/>
      <c r="CB101" s="1"/>
      <c r="CD101" s="1"/>
      <c r="CF101" s="1"/>
      <c r="CK101" s="6"/>
      <c r="CM101" s="6"/>
      <c r="CO101" s="6"/>
      <c r="CQ101" s="6"/>
      <c r="CS101" s="6"/>
      <c r="CU101" s="6"/>
      <c r="CW101" s="6"/>
      <c r="CY101" s="6"/>
      <c r="DA101" s="6"/>
      <c r="DC101" s="6"/>
      <c r="DE101" s="6"/>
      <c r="DG101" s="6"/>
      <c r="DI101" s="6"/>
      <c r="DK101" s="6"/>
      <c r="DM101" s="6"/>
      <c r="DO101" s="6"/>
      <c r="DQ101" s="6"/>
      <c r="DS101" s="6"/>
    </row>
    <row r="102" spans="1:124" x14ac:dyDescent="0.2">
      <c r="A102" t="str">
        <f>HYPERLINK("http://exon.niaid.nih.gov/transcriptome/C_felis/S2/links/pep/Cf-767-pep.txt","Cf-767")</f>
        <v>Cf-767</v>
      </c>
      <c r="B102" s="2">
        <v>1</v>
      </c>
      <c r="C102">
        <v>83</v>
      </c>
      <c r="D102" t="str">
        <f>HYPERLINK("http://exon.niaid.nih.gov/transcriptome/C_felis/S2/links/cds/Cf-767-cds.txt","Cf-767")</f>
        <v>Cf-767</v>
      </c>
      <c r="E102">
        <v>252</v>
      </c>
      <c r="F102" t="s">
        <v>516</v>
      </c>
      <c r="G102">
        <v>0</v>
      </c>
      <c r="I102" s="2" t="s">
        <v>4</v>
      </c>
      <c r="J102" s="2" t="s">
        <v>3</v>
      </c>
      <c r="K102" s="20" t="str">
        <f>HYPERLINK("http://exon.niaid.nih.gov/transcriptome/C_felis/S2/links/Sigp/Cf-767-SigP.txt","CYT")</f>
        <v>CYT</v>
      </c>
      <c r="L102" s="2" t="s">
        <v>7</v>
      </c>
      <c r="M102" s="2">
        <v>9.4600000000000009</v>
      </c>
      <c r="N102" s="2">
        <v>8.6199999999999992</v>
      </c>
      <c r="O102" s="2" t="s">
        <v>7</v>
      </c>
      <c r="P102" s="2" t="s">
        <v>7</v>
      </c>
      <c r="Q102" s="24" t="s">
        <v>559</v>
      </c>
      <c r="R102" s="20">
        <v>0</v>
      </c>
      <c r="S102" s="2" t="s">
        <v>7</v>
      </c>
      <c r="T102" s="2" t="s">
        <v>7</v>
      </c>
      <c r="U102" s="2" t="s">
        <v>7</v>
      </c>
      <c r="V102" s="2" t="s">
        <v>7</v>
      </c>
      <c r="W102" s="2" t="s">
        <v>7</v>
      </c>
      <c r="X102" s="20" t="str">
        <f>HYPERLINK("http://exon.niaid.nih.gov/transcriptome/C_felis/S2/links/netoglyc/CF-767-netoglyc.txt","0")</f>
        <v>0</v>
      </c>
      <c r="Y102" s="2">
        <v>12</v>
      </c>
      <c r="Z102" s="2">
        <v>3.6</v>
      </c>
      <c r="AA102" s="2">
        <v>6</v>
      </c>
      <c r="AB102" t="s">
        <v>437</v>
      </c>
      <c r="AC102" t="s">
        <v>447</v>
      </c>
      <c r="AD102" t="s">
        <v>516</v>
      </c>
      <c r="AE102" s="2">
        <v>1</v>
      </c>
      <c r="AF102" s="4" t="str">
        <f>HYPERLINK("http://exon.niaid.nih.gov/transcriptome/C_felis/S2/links/NR/Cf-767-NR.txt","transcription elongation factor 1 homolog isoform 1")</f>
        <v>transcription elongation factor 1 homolog isoform 1</v>
      </c>
      <c r="AG102" t="str">
        <f>HYPERLINK("http://www.ncbi.nlm.nih.gov/sutils/blink.cgi?pid=340723162","2E-038")</f>
        <v>2E-038</v>
      </c>
      <c r="AH102" t="str">
        <f>HYPERLINK("http://www.ncbi.nlm.nih.gov/protein/340723162","gi|340723162")</f>
        <v>gi|340723162</v>
      </c>
      <c r="AI102">
        <v>162</v>
      </c>
      <c r="AJ102">
        <v>80</v>
      </c>
      <c r="AK102">
        <v>82</v>
      </c>
      <c r="AL102">
        <v>88</v>
      </c>
      <c r="AM102">
        <v>99</v>
      </c>
      <c r="AN102" t="s">
        <v>98</v>
      </c>
      <c r="AO102" s="4" t="str">
        <f>HYPERLINK("http://exon.niaid.nih.gov/transcriptome/C_felis/S2/links/SWISSP/Cf-767-SWISSP.txt","Transcription elongation factor 1 homolog")</f>
        <v>Transcription elongation factor 1 homolog</v>
      </c>
      <c r="AP102" t="str">
        <f>HYPERLINK("http://www.uniprot.org/uniprot/Q8MQI6","2E-038")</f>
        <v>2E-038</v>
      </c>
      <c r="AQ102" t="s">
        <v>399</v>
      </c>
      <c r="AR102">
        <v>157</v>
      </c>
      <c r="AS102">
        <v>80</v>
      </c>
      <c r="AT102">
        <v>82</v>
      </c>
      <c r="AU102">
        <v>86</v>
      </c>
      <c r="AV102">
        <v>99</v>
      </c>
      <c r="AW102" t="s">
        <v>52</v>
      </c>
      <c r="AX102" s="4" t="s">
        <v>400</v>
      </c>
      <c r="AY102">
        <f>HYPERLINK("http://exon.niaid.nih.gov/transcriptome/C_felis/S2/links/GO/Cf-767-GO.txt",2E-38)</f>
        <v>1.9999999999999999E-38</v>
      </c>
      <c r="AZ102" t="str">
        <f>HYPERLINK("http://amigo.geneontology.org/cgi-bin/amigo/term_details?term=GO:0003674","GO:0003674")</f>
        <v>GO:0003674</v>
      </c>
      <c r="BA102" t="s">
        <v>111</v>
      </c>
      <c r="BB102" t="s">
        <v>112</v>
      </c>
      <c r="BC102" t="s">
        <v>113</v>
      </c>
      <c r="BD102" t="s">
        <v>7</v>
      </c>
      <c r="BF102" s="5">
        <v>1.9999999999999999E-38</v>
      </c>
      <c r="BG102" t="str">
        <f>HYPERLINK("http://amigo.geneontology.org/cgi-bin/amigo/term_details?term=GO:0005575","GO:0005575")</f>
        <v>GO:0005575</v>
      </c>
      <c r="BH102" t="s">
        <v>114</v>
      </c>
      <c r="BI102" t="s">
        <v>115</v>
      </c>
      <c r="BJ102" t="s">
        <v>116</v>
      </c>
      <c r="BK102" t="s">
        <v>7</v>
      </c>
      <c r="BM102" s="5">
        <v>1.9999999999999999E-38</v>
      </c>
      <c r="BN102" t="str">
        <f>HYPERLINK("http://amigo.geneontology.org/cgi-bin/amigo/term_details?term=GO:0008150","GO:0008150")</f>
        <v>GO:0008150</v>
      </c>
      <c r="BO102" t="s">
        <v>117</v>
      </c>
      <c r="BP102" t="s">
        <v>118</v>
      </c>
      <c r="BQ102" t="s">
        <v>119</v>
      </c>
      <c r="BR102" t="s">
        <v>7</v>
      </c>
      <c r="BT102" s="5">
        <v>1.9999999999999999E-38</v>
      </c>
      <c r="BU102" s="4" t="str">
        <f>HYPERLINK("http://exon.niaid.nih.gov/transcriptome/C_felis/S2/links/KOG/Cf-767-KOG.txt","Uncharacterized Zn ribbon-containing protein")</f>
        <v>Uncharacterized Zn ribbon-containing protein</v>
      </c>
      <c r="BV102" t="str">
        <f>HYPERLINK("http://www.ncbi.nlm.nih.gov/COG/grace/shokog.cgi?KOG3214","2E-026")</f>
        <v>2E-026</v>
      </c>
      <c r="BW102" t="s">
        <v>73</v>
      </c>
      <c r="BX102" t="str">
        <f>HYPERLINK("http://exon.niaid.nih.gov/transcriptome/C_felis/S2/links/KOG/Cf-767-KOG.txt","KOG3214")</f>
        <v>KOG3214</v>
      </c>
      <c r="BY102" s="4" t="str">
        <f>HYPERLINK("http://exon.niaid.nih.gov/transcriptome/C_felis/S2/links/CDD/Cf-767-CDD.txt","Elf1")</f>
        <v>Elf1</v>
      </c>
      <c r="BZ102" t="str">
        <f>HYPERLINK("http://www.ncbi.nlm.nih.gov/Structure/cdd/cddsrv.cgi?uid=pfam05129&amp;version=v4.0","2E-025")</f>
        <v>2E-025</v>
      </c>
      <c r="CA102" t="s">
        <v>401</v>
      </c>
      <c r="CB102" s="4" t="str">
        <f>HYPERLINK("http://exon.niaid.nih.gov/transcriptome/C_felis/S2/links/PFAM/Cf-767-PFAM.txt","Elf1")</f>
        <v>Elf1</v>
      </c>
      <c r="CC102" t="str">
        <f>HYPERLINK("http://pfam.sanger.ac.uk/family?acc=PF05129","5E-026")</f>
        <v>5E-026</v>
      </c>
      <c r="CD102" s="4" t="str">
        <f>HYPERLINK("http://exon.niaid.nih.gov/transcriptome/C_felis/S2/links/SMART/Cf-767-SMART.txt","Zpr1")</f>
        <v>Zpr1</v>
      </c>
      <c r="CE102" t="str">
        <f>HYPERLINK("http://smart.embl-heidelberg.de/smart/do_annotation.pl?DOMAIN=Zpr1&amp;BLAST=DUMMY","1.1")</f>
        <v>1.1</v>
      </c>
      <c r="CF102" s="4" t="s">
        <v>7</v>
      </c>
      <c r="CG102" t="s">
        <v>7</v>
      </c>
      <c r="CH102" t="s">
        <v>7</v>
      </c>
      <c r="CI102" t="s">
        <v>7</v>
      </c>
      <c r="CJ102" t="s">
        <v>7</v>
      </c>
      <c r="CK102" s="7">
        <v>162</v>
      </c>
      <c r="CL102" s="2">
        <v>1</v>
      </c>
      <c r="CM102" s="7">
        <v>162</v>
      </c>
      <c r="CN102" s="2">
        <v>1</v>
      </c>
      <c r="CO102" s="7">
        <v>162</v>
      </c>
      <c r="CP102" s="2">
        <v>1</v>
      </c>
      <c r="CQ102" s="7">
        <v>101</v>
      </c>
      <c r="CR102" s="2">
        <v>1</v>
      </c>
      <c r="CS102" s="7">
        <v>128</v>
      </c>
      <c r="CT102" s="2">
        <v>1</v>
      </c>
      <c r="CU102" s="7">
        <v>139</v>
      </c>
      <c r="CV102" s="2">
        <v>1</v>
      </c>
      <c r="CW102" s="7">
        <v>147</v>
      </c>
      <c r="CX102" s="2">
        <v>1</v>
      </c>
      <c r="CY102" s="7">
        <v>154</v>
      </c>
      <c r="CZ102" s="2">
        <v>1</v>
      </c>
      <c r="DA102" s="7">
        <v>164</v>
      </c>
      <c r="DB102" s="2">
        <v>1</v>
      </c>
      <c r="DC102" s="7">
        <v>166</v>
      </c>
      <c r="DD102" s="2">
        <v>1</v>
      </c>
      <c r="DE102" s="7">
        <v>171</v>
      </c>
      <c r="DF102" s="2">
        <v>1</v>
      </c>
      <c r="DG102" s="7">
        <v>176</v>
      </c>
      <c r="DH102" s="2">
        <v>1</v>
      </c>
      <c r="DI102" s="7">
        <v>177</v>
      </c>
      <c r="DJ102" s="2">
        <v>1</v>
      </c>
      <c r="DK102" s="7">
        <v>179</v>
      </c>
      <c r="DL102" s="2">
        <v>1</v>
      </c>
      <c r="DM102" s="7">
        <v>181</v>
      </c>
      <c r="DN102" s="2">
        <v>1</v>
      </c>
      <c r="DO102" s="7">
        <v>185</v>
      </c>
      <c r="DP102" s="2">
        <v>1</v>
      </c>
      <c r="DQ102" s="7">
        <v>187</v>
      </c>
      <c r="DR102" s="2">
        <v>1</v>
      </c>
      <c r="DS102" s="7">
        <v>192</v>
      </c>
      <c r="DT102" s="2">
        <v>1</v>
      </c>
    </row>
    <row r="103" spans="1:124" s="3" customFormat="1" x14ac:dyDescent="0.2">
      <c r="A103" s="14" t="s">
        <v>498</v>
      </c>
      <c r="K103" s="1" t="s">
        <v>7</v>
      </c>
      <c r="L103" s="3" t="s">
        <v>7</v>
      </c>
      <c r="M103" s="3" t="s">
        <v>7</v>
      </c>
      <c r="N103" s="3" t="s">
        <v>7</v>
      </c>
      <c r="O103" s="3" t="s">
        <v>7</v>
      </c>
      <c r="P103" s="3" t="s">
        <v>7</v>
      </c>
      <c r="Q103" s="23" t="s">
        <v>7</v>
      </c>
      <c r="R103" s="1" t="s">
        <v>7</v>
      </c>
      <c r="S103" s="3" t="s">
        <v>7</v>
      </c>
      <c r="T103" s="3" t="s">
        <v>7</v>
      </c>
      <c r="U103" s="3" t="s">
        <v>7</v>
      </c>
      <c r="V103" s="3" t="s">
        <v>7</v>
      </c>
      <c r="W103" s="3" t="s">
        <v>7</v>
      </c>
      <c r="X103" s="1" t="s">
        <v>7</v>
      </c>
      <c r="Y103" s="3" t="s">
        <v>7</v>
      </c>
      <c r="Z103" s="3" t="s">
        <v>7</v>
      </c>
      <c r="AA103" s="3" t="s">
        <v>7</v>
      </c>
      <c r="AF103" s="1"/>
      <c r="AO103" s="1"/>
      <c r="AX103" s="1"/>
      <c r="BU103" s="1"/>
      <c r="BY103" s="1"/>
      <c r="CB103" s="1"/>
      <c r="CD103" s="1"/>
      <c r="CF103" s="1"/>
      <c r="CK103" s="6"/>
      <c r="CM103" s="6"/>
      <c r="CO103" s="6"/>
      <c r="CQ103" s="6"/>
      <c r="CS103" s="6"/>
      <c r="CU103" s="6"/>
      <c r="CW103" s="6"/>
      <c r="CY103" s="6"/>
      <c r="DA103" s="6"/>
      <c r="DC103" s="6"/>
      <c r="DE103" s="6"/>
      <c r="DG103" s="6"/>
      <c r="DI103" s="6"/>
      <c r="DK103" s="6"/>
      <c r="DM103" s="6"/>
      <c r="DO103" s="6"/>
      <c r="DQ103" s="6"/>
      <c r="DS103" s="6"/>
    </row>
    <row r="104" spans="1:124" x14ac:dyDescent="0.2">
      <c r="A104" t="str">
        <f>HYPERLINK("http://exon.niaid.nih.gov/transcriptome/C_felis/S2/links/pep/Cf-244-pep.txt","Cf-244")</f>
        <v>Cf-244</v>
      </c>
      <c r="B104" s="2">
        <v>2</v>
      </c>
      <c r="C104">
        <v>137</v>
      </c>
      <c r="D104" t="str">
        <f>HYPERLINK("http://exon.niaid.nih.gov/transcriptome/C_felis/S2/links/cds/Cf-244-cds.txt","Cf-244")</f>
        <v>Cf-244</v>
      </c>
      <c r="E104">
        <v>414</v>
      </c>
      <c r="F104" t="s">
        <v>499</v>
      </c>
      <c r="G104">
        <v>0</v>
      </c>
      <c r="I104" s="2" t="s">
        <v>6</v>
      </c>
      <c r="J104" s="2" t="s">
        <v>3</v>
      </c>
      <c r="K104" s="20" t="str">
        <f>HYPERLINK("http://exon.niaid.nih.gov/transcriptome/C_felis/S2/links/Sigp/Cf-244-SigP.txt","CYT")</f>
        <v>CYT</v>
      </c>
      <c r="L104" s="2" t="s">
        <v>7</v>
      </c>
      <c r="M104" s="2">
        <v>16.364000000000001</v>
      </c>
      <c r="N104" s="2">
        <v>9.9700000000000006</v>
      </c>
      <c r="O104" s="2" t="s">
        <v>7</v>
      </c>
      <c r="P104" s="2" t="s">
        <v>7</v>
      </c>
      <c r="Q104" s="24" t="s">
        <v>585</v>
      </c>
      <c r="R104" s="20">
        <v>0</v>
      </c>
      <c r="S104" s="2" t="s">
        <v>7</v>
      </c>
      <c r="T104" s="2" t="s">
        <v>7</v>
      </c>
      <c r="U104" s="2" t="s">
        <v>7</v>
      </c>
      <c r="V104" s="2" t="s">
        <v>7</v>
      </c>
      <c r="W104" s="2" t="s">
        <v>7</v>
      </c>
      <c r="X104" s="20" t="str">
        <f>HYPERLINK("http://exon.niaid.nih.gov/transcriptome/C_felis/S2/links/netoglyc/CF-244-netoglyc.txt","0")</f>
        <v>0</v>
      </c>
      <c r="Y104" s="2">
        <v>10.9</v>
      </c>
      <c r="Z104" s="2">
        <v>2.9</v>
      </c>
      <c r="AA104" s="2">
        <v>1.5</v>
      </c>
      <c r="AB104" t="s">
        <v>437</v>
      </c>
      <c r="AC104" t="s">
        <v>498</v>
      </c>
      <c r="AD104" t="s">
        <v>499</v>
      </c>
      <c r="AE104" s="2">
        <v>2</v>
      </c>
      <c r="AF104" s="4" t="str">
        <f>HYPERLINK("http://exon.niaid.nih.gov/transcriptome/C_felis/S2/links/NR/Cf-244-NR.txt","GK24003")</f>
        <v>GK24003</v>
      </c>
      <c r="AG104" t="str">
        <f>HYPERLINK("http://www.ncbi.nlm.nih.gov/sutils/blink.cgi?pid=195463775","2E-033")</f>
        <v>2E-033</v>
      </c>
      <c r="AH104" t="str">
        <f>HYPERLINK("http://www.ncbi.nlm.nih.gov/protein/195463775","gi|195463775")</f>
        <v>gi|195463775</v>
      </c>
      <c r="AI104">
        <v>145</v>
      </c>
      <c r="AJ104">
        <v>132</v>
      </c>
      <c r="AK104">
        <v>179</v>
      </c>
      <c r="AL104">
        <v>49</v>
      </c>
      <c r="AM104">
        <v>74</v>
      </c>
      <c r="AN104" t="s">
        <v>76</v>
      </c>
      <c r="AO104" s="4" t="str">
        <f>HYPERLINK("http://exon.niaid.nih.gov/transcriptome/C_felis/S2/links/SWISSP/Cf-244-SWISSP.txt","Probable RNA-directed DNA polymerase from transposon X-element")</f>
        <v>Probable RNA-directed DNA polymerase from transposon X-element</v>
      </c>
      <c r="AP104" t="str">
        <f>HYPERLINK("http://www.uniprot.org/uniprot/Q9NBX4","2E-023")</f>
        <v>2E-023</v>
      </c>
      <c r="AQ104" t="s">
        <v>304</v>
      </c>
      <c r="AR104">
        <v>107</v>
      </c>
      <c r="AS104">
        <v>125</v>
      </c>
      <c r="AT104">
        <v>908</v>
      </c>
      <c r="AU104">
        <v>41</v>
      </c>
      <c r="AV104">
        <v>14</v>
      </c>
      <c r="AW104" t="s">
        <v>52</v>
      </c>
      <c r="AX104" s="4" t="s">
        <v>305</v>
      </c>
      <c r="AY104">
        <f>HYPERLINK("http://exon.niaid.nih.gov/transcriptome/C_felis/S2/links/GO/Cf-244-GO.txt",2E-34)</f>
        <v>1.9999999999999999E-34</v>
      </c>
      <c r="AZ104" t="str">
        <f>HYPERLINK("http://amigo.geneontology.org/cgi-bin/amigo/term_details?term=GO:0003964","GO:0003964")</f>
        <v>GO:0003964</v>
      </c>
      <c r="BA104" t="s">
        <v>306</v>
      </c>
      <c r="BB104" t="s">
        <v>307</v>
      </c>
      <c r="BC104" t="s">
        <v>308</v>
      </c>
      <c r="BD104" t="str">
        <f>HYPERLINK("http://www.genome.jp/dbget-bin/www_bfind_sub?mode=bfind&amp;max_hit=1000&amp;dbkey=kegg&amp;keywords=EC:2.7.7.49","EC:2.7.7.49")</f>
        <v>EC:2.7.7.49</v>
      </c>
      <c r="BF104" s="5">
        <v>1.9999999999999999E-34</v>
      </c>
      <c r="BG104" t="s">
        <v>7</v>
      </c>
      <c r="BH104" t="s">
        <v>7</v>
      </c>
      <c r="BI104" t="s">
        <v>7</v>
      </c>
      <c r="BJ104" t="s">
        <v>7</v>
      </c>
      <c r="BL104" t="s">
        <v>7</v>
      </c>
      <c r="BM104" t="s">
        <v>7</v>
      </c>
      <c r="BN104" t="str">
        <f>HYPERLINK("http://amigo.geneontology.org/cgi-bin/amigo/term_details?term=GO:0006278","GO:0006278")</f>
        <v>GO:0006278</v>
      </c>
      <c r="BO104" t="s">
        <v>309</v>
      </c>
      <c r="BP104" t="s">
        <v>310</v>
      </c>
      <c r="BQ104" t="s">
        <v>7</v>
      </c>
      <c r="BR104" t="s">
        <v>7</v>
      </c>
      <c r="BT104" s="5">
        <v>1.9999999999999999E-34</v>
      </c>
      <c r="BU104" s="4" t="str">
        <f>HYPERLINK("http://exon.niaid.nih.gov/transcriptome/C_felis/S2/links/KOG/Cf-244-KOG.txt","Proteins containing the FAD binding domain")</f>
        <v>Proteins containing the FAD binding domain</v>
      </c>
      <c r="BV104" t="str">
        <f>HYPERLINK("http://www.ncbi.nlm.nih.gov/COG/grace/shokog.cgi?KOG1231","3.3")</f>
        <v>3.3</v>
      </c>
      <c r="BW104" t="s">
        <v>90</v>
      </c>
      <c r="BX104" t="str">
        <f>HYPERLINK("http://exon.niaid.nih.gov/transcriptome/C_felis/S2/links/KOG/Cf-244-KOG.txt","KOG1231")</f>
        <v>KOG1231</v>
      </c>
      <c r="BY104" s="4" t="str">
        <f>HYPERLINK("http://exon.niaid.nih.gov/transcriptome/C_felis/S2/links/CDD/Cf-244-CDD.txt","PRK05912")</f>
        <v>PRK05912</v>
      </c>
      <c r="BZ104" t="str">
        <f>HYPERLINK("http://www.ncbi.nlm.nih.gov/Structure/cdd/cddsrv.cgi?uid=PRK05912&amp;version=v4.0","2.5")</f>
        <v>2.5</v>
      </c>
      <c r="CA104" t="s">
        <v>311</v>
      </c>
      <c r="CB104" s="4" t="str">
        <f>HYPERLINK("http://exon.niaid.nih.gov/transcriptome/C_felis/S2/links/PFAM/Cf-244-PFAM.txt","DUF2872")</f>
        <v>DUF2872</v>
      </c>
      <c r="CC104" t="str">
        <f>HYPERLINK("http://pfam.sanger.ac.uk/family?acc=PF11071","1.7")</f>
        <v>1.7</v>
      </c>
      <c r="CD104" s="4" t="str">
        <f>HYPERLINK("http://exon.niaid.nih.gov/transcriptome/C_felis/S2/links/SMART/Cf-244-SMART.txt","TPK_B1_binding")</f>
        <v>TPK_B1_binding</v>
      </c>
      <c r="CE104" t="str">
        <f>HYPERLINK("http://smart.embl-heidelberg.de/smart/do_annotation.pl?DOMAIN=TPK_B1_binding&amp;BLAST=DUMMY","4.0")</f>
        <v>4.0</v>
      </c>
      <c r="CF104" s="4" t="str">
        <f>HYPERLINK("http://exon.niaid.nih.gov/transcriptome/C_felis/S2/links/TE-CLASS/Cf-244-TE-CLASS.txt","Jockey_Ele1_ORF2")</f>
        <v>Jockey_Ele1_ORF2</v>
      </c>
      <c r="CG104" s="5">
        <v>1.9999999999999999E-34</v>
      </c>
      <c r="CH104" t="s">
        <v>312</v>
      </c>
      <c r="CI104">
        <v>30</v>
      </c>
      <c r="CJ104">
        <v>14</v>
      </c>
      <c r="CK104" s="7">
        <v>63</v>
      </c>
      <c r="CL104" s="2">
        <v>1</v>
      </c>
      <c r="CM104" s="7">
        <v>63</v>
      </c>
      <c r="CN104" s="2">
        <v>1</v>
      </c>
      <c r="CO104" s="7">
        <v>63</v>
      </c>
      <c r="CP104" s="2">
        <v>1</v>
      </c>
      <c r="CQ104" s="7">
        <v>47</v>
      </c>
      <c r="CR104" s="2">
        <v>1</v>
      </c>
      <c r="CS104" s="7">
        <v>56</v>
      </c>
      <c r="CT104" s="2">
        <v>1</v>
      </c>
      <c r="CU104" s="7">
        <v>63</v>
      </c>
      <c r="CV104" s="2">
        <v>1</v>
      </c>
      <c r="CW104" s="7">
        <v>62</v>
      </c>
      <c r="CX104" s="2">
        <v>1</v>
      </c>
      <c r="CY104" s="7">
        <v>65</v>
      </c>
      <c r="CZ104" s="2">
        <v>1</v>
      </c>
      <c r="DA104" s="7">
        <v>67</v>
      </c>
      <c r="DB104" s="2">
        <v>1</v>
      </c>
      <c r="DC104" s="7">
        <v>68</v>
      </c>
      <c r="DD104" s="2">
        <v>1</v>
      </c>
      <c r="DE104" s="7">
        <v>67</v>
      </c>
      <c r="DF104" s="2">
        <v>1</v>
      </c>
      <c r="DG104" s="7">
        <v>67</v>
      </c>
      <c r="DH104" s="2">
        <v>1</v>
      </c>
      <c r="DI104" s="7">
        <v>68</v>
      </c>
      <c r="DJ104" s="2">
        <v>1</v>
      </c>
      <c r="DK104" s="7">
        <v>68</v>
      </c>
      <c r="DL104" s="2">
        <v>1</v>
      </c>
      <c r="DM104" s="7">
        <v>70</v>
      </c>
      <c r="DN104" s="2">
        <v>1</v>
      </c>
      <c r="DO104" s="7">
        <v>71</v>
      </c>
      <c r="DP104" s="2">
        <v>1</v>
      </c>
      <c r="DQ104" s="7">
        <v>71</v>
      </c>
      <c r="DR104" s="2">
        <v>1</v>
      </c>
      <c r="DS104" s="7">
        <v>72</v>
      </c>
      <c r="DT104" s="2">
        <v>1</v>
      </c>
    </row>
    <row r="146" spans="11:88" x14ac:dyDescent="0.2">
      <c r="K146" s="20" t="s">
        <v>7</v>
      </c>
      <c r="L146" s="2" t="s">
        <v>7</v>
      </c>
      <c r="M146" s="2" t="s">
        <v>7</v>
      </c>
      <c r="N146" s="2" t="s">
        <v>7</v>
      </c>
      <c r="O146" s="2" t="s">
        <v>7</v>
      </c>
      <c r="P146" s="2" t="s">
        <v>7</v>
      </c>
      <c r="AF146" s="4" t="s">
        <v>7</v>
      </c>
      <c r="AG146" t="s">
        <v>7</v>
      </c>
      <c r="AH146" t="s">
        <v>7</v>
      </c>
      <c r="AI146" t="s">
        <v>7</v>
      </c>
      <c r="AJ146" t="s">
        <v>7</v>
      </c>
      <c r="AK146" t="s">
        <v>7</v>
      </c>
      <c r="AL146" t="s">
        <v>7</v>
      </c>
      <c r="AM146" t="s">
        <v>7</v>
      </c>
      <c r="AN146" t="s">
        <v>7</v>
      </c>
      <c r="AO146" s="4" t="s">
        <v>7</v>
      </c>
      <c r="AP146" t="s">
        <v>7</v>
      </c>
      <c r="AQ146" t="s">
        <v>7</v>
      </c>
      <c r="AR146" t="s">
        <v>7</v>
      </c>
      <c r="AS146" t="s">
        <v>7</v>
      </c>
      <c r="AT146" t="s">
        <v>7</v>
      </c>
      <c r="AU146" t="s">
        <v>7</v>
      </c>
      <c r="AV146" t="s">
        <v>7</v>
      </c>
      <c r="AW146" t="s">
        <v>7</v>
      </c>
      <c r="AX146" s="4" t="s">
        <v>7</v>
      </c>
      <c r="AY146" t="s">
        <v>7</v>
      </c>
      <c r="AZ146" t="s">
        <v>7</v>
      </c>
      <c r="BA146" t="s">
        <v>7</v>
      </c>
      <c r="BB146" t="s">
        <v>7</v>
      </c>
      <c r="BC146" t="s">
        <v>7</v>
      </c>
      <c r="BD146" t="s">
        <v>7</v>
      </c>
      <c r="BE146" t="s">
        <v>7</v>
      </c>
      <c r="BF146" t="s">
        <v>7</v>
      </c>
      <c r="BG146" t="s">
        <v>7</v>
      </c>
      <c r="BH146" t="s">
        <v>7</v>
      </c>
      <c r="BI146" t="s">
        <v>7</v>
      </c>
      <c r="BJ146" t="s">
        <v>7</v>
      </c>
      <c r="BK146" t="s">
        <v>7</v>
      </c>
      <c r="BL146" t="s">
        <v>7</v>
      </c>
      <c r="BM146" t="s">
        <v>7</v>
      </c>
      <c r="BN146" t="s">
        <v>7</v>
      </c>
      <c r="BO146" t="s">
        <v>7</v>
      </c>
      <c r="BP146" t="s">
        <v>7</v>
      </c>
      <c r="BQ146" t="s">
        <v>7</v>
      </c>
      <c r="BR146" t="s">
        <v>7</v>
      </c>
      <c r="BS146" t="s">
        <v>7</v>
      </c>
      <c r="BT146" t="s">
        <v>7</v>
      </c>
      <c r="BU146" s="4" t="s">
        <v>7</v>
      </c>
      <c r="BV146" t="s">
        <v>7</v>
      </c>
      <c r="BW146" t="s">
        <v>7</v>
      </c>
      <c r="BX146" t="s">
        <v>7</v>
      </c>
      <c r="BY146" s="4" t="s">
        <v>7</v>
      </c>
      <c r="BZ146" t="s">
        <v>7</v>
      </c>
      <c r="CA146" t="s">
        <v>7</v>
      </c>
      <c r="CB146" s="4" t="s">
        <v>7</v>
      </c>
      <c r="CC146" t="s">
        <v>7</v>
      </c>
      <c r="CD146" s="4" t="s">
        <v>7</v>
      </c>
      <c r="CE146" t="s">
        <v>7</v>
      </c>
      <c r="CF146" s="4" t="s">
        <v>7</v>
      </c>
      <c r="CG146" t="s">
        <v>7</v>
      </c>
      <c r="CH146" t="s">
        <v>7</v>
      </c>
      <c r="CI146" t="s">
        <v>7</v>
      </c>
      <c r="CJ146" t="s">
        <v>7</v>
      </c>
    </row>
  </sheetData>
  <sortState ref="A23:DZ29">
    <sortCondition ref="AN23:AN2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A19" sqref="A19"/>
    </sheetView>
  </sheetViews>
  <sheetFormatPr defaultRowHeight="14.25" x14ac:dyDescent="0.2"/>
  <cols>
    <col min="4" max="4" width="12.19921875" bestFit="1" customWidth="1"/>
  </cols>
  <sheetData>
    <row r="1" spans="1:4" x14ac:dyDescent="0.2">
      <c r="A1" t="s">
        <v>589</v>
      </c>
      <c r="B1" t="s">
        <v>590</v>
      </c>
    </row>
    <row r="2" spans="1:4" x14ac:dyDescent="0.2">
      <c r="A2">
        <v>94</v>
      </c>
      <c r="B2">
        <v>21</v>
      </c>
      <c r="D2">
        <f>TTEST(A2:A17,B2:B19,2,3)</f>
        <v>1.7045895733698955E-8</v>
      </c>
    </row>
    <row r="3" spans="1:4" x14ac:dyDescent="0.2">
      <c r="A3">
        <v>95</v>
      </c>
      <c r="B3">
        <v>35</v>
      </c>
    </row>
    <row r="4" spans="1:4" x14ac:dyDescent="0.2">
      <c r="A4">
        <v>99</v>
      </c>
      <c r="B4">
        <v>36</v>
      </c>
    </row>
    <row r="5" spans="1:4" x14ac:dyDescent="0.2">
      <c r="A5">
        <v>100</v>
      </c>
      <c r="B5">
        <v>37</v>
      </c>
    </row>
    <row r="6" spans="1:4" x14ac:dyDescent="0.2">
      <c r="A6">
        <v>95</v>
      </c>
      <c r="B6">
        <v>40</v>
      </c>
    </row>
    <row r="7" spans="1:4" x14ac:dyDescent="0.2">
      <c r="A7">
        <v>97</v>
      </c>
      <c r="B7">
        <v>41</v>
      </c>
    </row>
    <row r="8" spans="1:4" x14ac:dyDescent="0.2">
      <c r="A8">
        <v>98</v>
      </c>
      <c r="B8">
        <v>43</v>
      </c>
    </row>
    <row r="9" spans="1:4" x14ac:dyDescent="0.2">
      <c r="A9">
        <v>88</v>
      </c>
      <c r="B9">
        <v>44</v>
      </c>
    </row>
    <row r="10" spans="1:4" x14ac:dyDescent="0.2">
      <c r="A10">
        <v>92</v>
      </c>
      <c r="B10">
        <v>44</v>
      </c>
    </row>
    <row r="11" spans="1:4" x14ac:dyDescent="0.2">
      <c r="A11">
        <v>98</v>
      </c>
      <c r="B11">
        <v>45</v>
      </c>
    </row>
    <row r="12" spans="1:4" x14ac:dyDescent="0.2">
      <c r="A12">
        <v>100</v>
      </c>
      <c r="B12">
        <v>53</v>
      </c>
    </row>
    <row r="13" spans="1:4" x14ac:dyDescent="0.2">
      <c r="A13">
        <v>98</v>
      </c>
      <c r="B13">
        <v>54</v>
      </c>
    </row>
    <row r="14" spans="1:4" x14ac:dyDescent="0.2">
      <c r="A14">
        <v>97</v>
      </c>
      <c r="B14">
        <v>56</v>
      </c>
    </row>
    <row r="15" spans="1:4" x14ac:dyDescent="0.2">
      <c r="A15">
        <v>96</v>
      </c>
      <c r="B15">
        <v>66</v>
      </c>
    </row>
    <row r="16" spans="1:4" x14ac:dyDescent="0.2">
      <c r="A16">
        <v>89</v>
      </c>
      <c r="B16">
        <v>69</v>
      </c>
    </row>
    <row r="17" spans="1:2" x14ac:dyDescent="0.2">
      <c r="A17">
        <v>97</v>
      </c>
      <c r="B17">
        <v>73</v>
      </c>
    </row>
    <row r="18" spans="1:2" x14ac:dyDescent="0.2">
      <c r="B18">
        <v>84</v>
      </c>
    </row>
    <row r="19" spans="1:2" x14ac:dyDescent="0.2">
      <c r="B19">
        <v>97</v>
      </c>
    </row>
    <row r="21" spans="1:2" x14ac:dyDescent="0.2">
      <c r="A21">
        <f>AVERAGE(A2:A17)</f>
        <v>95.8125</v>
      </c>
      <c r="B21">
        <f>AVERAGE(B2:B17)</f>
        <v>47.3125</v>
      </c>
    </row>
    <row r="22" spans="1:2" x14ac:dyDescent="0.2">
      <c r="A22">
        <f>STDEV(A2:A17)</f>
        <v>3.5631212908534748</v>
      </c>
      <c r="B22">
        <f>STDEV(B2:B17)</f>
        <v>13.782688416996155</v>
      </c>
    </row>
  </sheetData>
  <sortState ref="B2:B21">
    <sortCondition ref="B2:B2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workbookViewId="0"/>
  </sheetViews>
  <sheetFormatPr defaultRowHeight="14.25" x14ac:dyDescent="0.2"/>
  <cols>
    <col min="1" max="1" width="19.69921875" customWidth="1"/>
    <col min="2" max="2" width="16.3984375" customWidth="1"/>
    <col min="3" max="5" width="8.796875" style="2"/>
  </cols>
  <sheetData>
    <row r="1" spans="1:6" ht="57" x14ac:dyDescent="0.2">
      <c r="A1" s="8" t="s">
        <v>17</v>
      </c>
      <c r="B1" s="9" t="s">
        <v>436</v>
      </c>
      <c r="C1" s="8" t="s">
        <v>19</v>
      </c>
      <c r="D1" s="9" t="s">
        <v>20</v>
      </c>
      <c r="E1" s="9" t="s">
        <v>433</v>
      </c>
      <c r="F1" s="8" t="s">
        <v>0</v>
      </c>
    </row>
    <row r="2" spans="1:6" x14ac:dyDescent="0.2">
      <c r="A2" t="str">
        <f>HYPERLINK(".\links\pep\Cf-781-pep.txt","Cf-781")</f>
        <v>Cf-781</v>
      </c>
      <c r="B2" t="s">
        <v>453</v>
      </c>
      <c r="C2" s="2" t="s">
        <v>5</v>
      </c>
      <c r="D2" s="2" t="s">
        <v>3</v>
      </c>
      <c r="E2" s="2">
        <v>1</v>
      </c>
      <c r="F2">
        <v>549</v>
      </c>
    </row>
    <row r="3" spans="1:6" x14ac:dyDescent="0.2">
      <c r="A3" t="str">
        <f>HYPERLINK(".\links\pep\Cf-726-pep.txt","Cf-726")</f>
        <v>Cf-726</v>
      </c>
      <c r="B3" t="s">
        <v>591</v>
      </c>
      <c r="C3" s="2" t="s">
        <v>9</v>
      </c>
      <c r="D3" s="2" t="s">
        <v>3</v>
      </c>
      <c r="E3" s="2">
        <v>1</v>
      </c>
      <c r="F3">
        <v>348</v>
      </c>
    </row>
    <row r="4" spans="1:6" x14ac:dyDescent="0.2">
      <c r="A4" t="str">
        <f>HYPERLINK(".\links\pep\Cf-51-pep.txt","Cf-51")</f>
        <v>Cf-51</v>
      </c>
      <c r="B4" t="s">
        <v>507</v>
      </c>
      <c r="C4" s="2" t="s">
        <v>10</v>
      </c>
      <c r="D4" s="2" t="s">
        <v>3</v>
      </c>
      <c r="E4" s="2">
        <v>3</v>
      </c>
      <c r="F4">
        <v>630</v>
      </c>
    </row>
    <row r="5" spans="1:6" x14ac:dyDescent="0.2">
      <c r="A5" t="str">
        <f>HYPERLINK(".\links\pep\Cf-65-pep.txt","Cf-65")</f>
        <v>Cf-65</v>
      </c>
      <c r="B5" t="s">
        <v>596</v>
      </c>
      <c r="C5" s="2" t="s">
        <v>9</v>
      </c>
      <c r="D5" s="2" t="s">
        <v>3</v>
      </c>
      <c r="E5" s="2">
        <v>4</v>
      </c>
      <c r="F5">
        <v>297</v>
      </c>
    </row>
    <row r="6" spans="1:6" x14ac:dyDescent="0.2">
      <c r="A6" t="str">
        <f>HYPERLINK(".\links\pep\Cf-169-pep.txt","Cf-169")</f>
        <v>Cf-169</v>
      </c>
      <c r="B6" t="s">
        <v>594</v>
      </c>
      <c r="C6" s="2" t="s">
        <v>4</v>
      </c>
      <c r="D6" s="2" t="s">
        <v>3</v>
      </c>
      <c r="E6" s="2">
        <v>5</v>
      </c>
      <c r="F6">
        <v>282</v>
      </c>
    </row>
    <row r="7" spans="1:6" x14ac:dyDescent="0.2">
      <c r="A7" t="str">
        <f>HYPERLINK(".\links\pep\Cf-14-pep.txt","Cf-14")</f>
        <v>Cf-14</v>
      </c>
      <c r="B7" t="s">
        <v>600</v>
      </c>
      <c r="C7" s="2" t="s">
        <v>9</v>
      </c>
      <c r="D7" s="2" t="s">
        <v>3</v>
      </c>
      <c r="E7" s="2">
        <v>6</v>
      </c>
      <c r="F7">
        <v>246</v>
      </c>
    </row>
    <row r="8" spans="1:6" x14ac:dyDescent="0.2">
      <c r="A8" t="str">
        <f>HYPERLINK(".\links\pep\Cf-100-pep.txt","Cf-100")</f>
        <v>Cf-100</v>
      </c>
      <c r="B8" t="s">
        <v>453</v>
      </c>
      <c r="C8" s="2" t="s">
        <v>9</v>
      </c>
      <c r="D8" s="2" t="s">
        <v>3</v>
      </c>
      <c r="E8" s="2">
        <v>7</v>
      </c>
      <c r="F8">
        <v>567</v>
      </c>
    </row>
    <row r="9" spans="1:6" x14ac:dyDescent="0.2">
      <c r="A9" t="str">
        <f>HYPERLINK(".\links\pep\Cf-56-pep.txt","Cf-56")</f>
        <v>Cf-56</v>
      </c>
      <c r="B9" t="s">
        <v>453</v>
      </c>
      <c r="C9" s="2" t="s">
        <v>5</v>
      </c>
      <c r="D9" s="2" t="s">
        <v>3</v>
      </c>
      <c r="E9" s="2">
        <v>7</v>
      </c>
      <c r="F9">
        <v>555</v>
      </c>
    </row>
    <row r="10" spans="1:6" x14ac:dyDescent="0.2">
      <c r="A10" t="str">
        <f>HYPERLINK(".\links\pep\Cf-16-pep.txt","Cf-16")</f>
        <v>Cf-16</v>
      </c>
      <c r="B10" t="s">
        <v>599</v>
      </c>
      <c r="C10" s="2" t="s">
        <v>5</v>
      </c>
      <c r="D10" s="2" t="s">
        <v>3</v>
      </c>
      <c r="E10" s="2">
        <v>8</v>
      </c>
      <c r="F10">
        <v>174</v>
      </c>
    </row>
    <row r="11" spans="1:6" x14ac:dyDescent="0.2">
      <c r="A11" t="str">
        <f>HYPERLINK(".\links\pep\Cf-25-pep.txt","Cf-25")</f>
        <v>Cf-25</v>
      </c>
      <c r="B11" t="s">
        <v>593</v>
      </c>
      <c r="C11" s="2" t="s">
        <v>9</v>
      </c>
      <c r="D11" s="2" t="s">
        <v>3</v>
      </c>
      <c r="E11" s="2">
        <v>8</v>
      </c>
      <c r="F11">
        <v>183</v>
      </c>
    </row>
    <row r="12" spans="1:6" x14ac:dyDescent="0.2">
      <c r="A12" t="str">
        <f>HYPERLINK(".\links\pep\Cf-52-pep.txt","Cf-52")</f>
        <v>Cf-52</v>
      </c>
      <c r="B12" t="s">
        <v>507</v>
      </c>
      <c r="C12" s="2" t="s">
        <v>4</v>
      </c>
      <c r="D12" s="2" t="s">
        <v>3</v>
      </c>
      <c r="E12" s="2">
        <v>9</v>
      </c>
      <c r="F12">
        <v>648</v>
      </c>
    </row>
    <row r="13" spans="1:6" x14ac:dyDescent="0.2">
      <c r="A13" t="str">
        <f>HYPERLINK(".\links\pep\Cf-83-pep.txt","Cf-83")</f>
        <v>Cf-83</v>
      </c>
      <c r="B13" t="s">
        <v>592</v>
      </c>
      <c r="C13" s="2" t="s">
        <v>10</v>
      </c>
      <c r="D13" s="2" t="s">
        <v>3</v>
      </c>
      <c r="E13" s="2">
        <v>9</v>
      </c>
      <c r="F13">
        <v>306</v>
      </c>
    </row>
    <row r="14" spans="1:6" x14ac:dyDescent="0.2">
      <c r="A14" t="str">
        <f>HYPERLINK(".\links\pep\Cf-31-pep.txt","Cf-31")</f>
        <v>Cf-31</v>
      </c>
      <c r="B14" t="s">
        <v>595</v>
      </c>
      <c r="C14" s="2" t="s">
        <v>4</v>
      </c>
      <c r="D14" s="2" t="s">
        <v>3</v>
      </c>
      <c r="E14" s="2">
        <v>9</v>
      </c>
      <c r="F14">
        <v>162</v>
      </c>
    </row>
    <row r="15" spans="1:6" x14ac:dyDescent="0.2">
      <c r="A15" t="str">
        <f>HYPERLINK(".\links\pep\Cf-5-pep.txt","Cf-5")</f>
        <v>Cf-5</v>
      </c>
      <c r="B15" t="s">
        <v>602</v>
      </c>
      <c r="C15" s="2" t="s">
        <v>9</v>
      </c>
      <c r="D15" s="2" t="s">
        <v>3</v>
      </c>
      <c r="E15" s="2">
        <v>10</v>
      </c>
      <c r="F15">
        <v>144</v>
      </c>
    </row>
    <row r="16" spans="1:6" x14ac:dyDescent="0.2">
      <c r="A16" t="str">
        <f>HYPERLINK(".\links\pep\Cf-79-pep.txt","Cf-79")</f>
        <v>Cf-79</v>
      </c>
      <c r="B16" t="s">
        <v>504</v>
      </c>
      <c r="C16" s="2" t="s">
        <v>10</v>
      </c>
      <c r="D16" s="2" t="s">
        <v>3</v>
      </c>
      <c r="E16" s="2">
        <v>13</v>
      </c>
      <c r="F16">
        <v>816</v>
      </c>
    </row>
    <row r="17" spans="1:6" x14ac:dyDescent="0.2">
      <c r="A17" t="str">
        <f>HYPERLINK(".\links\pep\Cf-15-pep.txt","Cf-15")</f>
        <v>Cf-15</v>
      </c>
      <c r="B17" t="s">
        <v>598</v>
      </c>
      <c r="C17" s="2" t="s">
        <v>5</v>
      </c>
      <c r="D17" s="2" t="s">
        <v>3</v>
      </c>
      <c r="E17" s="2">
        <v>14</v>
      </c>
      <c r="F17">
        <v>171</v>
      </c>
    </row>
    <row r="18" spans="1:6" x14ac:dyDescent="0.2">
      <c r="A18" t="str">
        <f>HYPERLINK(".\links\pep\Cf-75-pep.txt","Cf-75")</f>
        <v>Cf-75</v>
      </c>
      <c r="B18" t="s">
        <v>601</v>
      </c>
      <c r="C18" s="2" t="s">
        <v>11</v>
      </c>
      <c r="D18" s="2" t="s">
        <v>3</v>
      </c>
      <c r="E18" s="2">
        <v>14</v>
      </c>
      <c r="F18">
        <v>210</v>
      </c>
    </row>
    <row r="19" spans="1:6" x14ac:dyDescent="0.2">
      <c r="A19" t="str">
        <f>HYPERLINK(".\links\pep\Cf-2-pep.txt","Cf-2")</f>
        <v>Cf-2</v>
      </c>
      <c r="B19" t="s">
        <v>602</v>
      </c>
      <c r="C19" s="2" t="s">
        <v>9</v>
      </c>
      <c r="D19" s="2" t="s">
        <v>3</v>
      </c>
      <c r="E19" s="2">
        <v>14</v>
      </c>
      <c r="F19">
        <v>144</v>
      </c>
    </row>
    <row r="20" spans="1:6" x14ac:dyDescent="0.2">
      <c r="A20" t="str">
        <f>HYPERLINK(".\links\pep\Cf-47-pep.txt","Cf-47")</f>
        <v>Cf-47</v>
      </c>
      <c r="B20" t="s">
        <v>504</v>
      </c>
      <c r="C20" s="2" t="s">
        <v>4</v>
      </c>
      <c r="D20" s="2" t="s">
        <v>3</v>
      </c>
      <c r="E20" s="2">
        <v>17</v>
      </c>
      <c r="F20">
        <v>774</v>
      </c>
    </row>
    <row r="21" spans="1:6" x14ac:dyDescent="0.2">
      <c r="A21" t="str">
        <f>HYPERLINK(".\links\pep\Cf-6-pep.txt","Cf-6")</f>
        <v>Cf-6</v>
      </c>
      <c r="B21" t="s">
        <v>602</v>
      </c>
      <c r="C21" s="2" t="s">
        <v>9</v>
      </c>
      <c r="D21" s="2" t="s">
        <v>3</v>
      </c>
      <c r="E21" s="2">
        <v>19</v>
      </c>
      <c r="F21">
        <v>144</v>
      </c>
    </row>
    <row r="22" spans="1:6" x14ac:dyDescent="0.2">
      <c r="A22" t="str">
        <f>HYPERLINK(".\links\pep\Cf-50-pep.txt","Cf-50")</f>
        <v>Cf-50</v>
      </c>
      <c r="B22" t="s">
        <v>505</v>
      </c>
      <c r="C22" s="2" t="s">
        <v>9</v>
      </c>
      <c r="D22" s="2" t="s">
        <v>3</v>
      </c>
      <c r="E22" s="2">
        <v>20</v>
      </c>
      <c r="F22">
        <v>456</v>
      </c>
    </row>
    <row r="23" spans="1:6" x14ac:dyDescent="0.2">
      <c r="A23" t="str">
        <f>HYPERLINK(".\links\pep\Cf-1-pep.txt","Cf-1")</f>
        <v>Cf-1</v>
      </c>
      <c r="B23" t="s">
        <v>602</v>
      </c>
      <c r="C23" s="2" t="s">
        <v>9</v>
      </c>
      <c r="D23" s="2" t="s">
        <v>3</v>
      </c>
      <c r="E23" s="2">
        <v>42</v>
      </c>
      <c r="F23">
        <v>144</v>
      </c>
    </row>
    <row r="24" spans="1:6" x14ac:dyDescent="0.2">
      <c r="A24" t="str">
        <f>HYPERLINK(".\links\pep\Cf-12-pep.txt","Cf-12")</f>
        <v>Cf-12</v>
      </c>
      <c r="B24" t="s">
        <v>597</v>
      </c>
      <c r="C24" s="2" t="s">
        <v>9</v>
      </c>
      <c r="D24" s="2" t="s">
        <v>3</v>
      </c>
      <c r="E24" s="2">
        <v>76</v>
      </c>
      <c r="F24">
        <v>246</v>
      </c>
    </row>
    <row r="25" spans="1:6" x14ac:dyDescent="0.2">
      <c r="A25" t="str">
        <f>HYPERLINK(".\links\pep\Cf-109-pep.txt","Cf-109")</f>
        <v>Cf-109</v>
      </c>
      <c r="B25" t="s">
        <v>460</v>
      </c>
      <c r="C25" s="2" t="s">
        <v>9</v>
      </c>
      <c r="D25" s="2" t="s">
        <v>3</v>
      </c>
      <c r="E25" s="2">
        <v>7</v>
      </c>
      <c r="F25">
        <v>486</v>
      </c>
    </row>
    <row r="26" spans="1:6" x14ac:dyDescent="0.2">
      <c r="A26" t="str">
        <f>HYPERLINK(".\links\pep\Cf-124-pep.txt","Cf-124")</f>
        <v>Cf-124</v>
      </c>
      <c r="B26" t="s">
        <v>463</v>
      </c>
      <c r="C26" s="2" t="s">
        <v>4</v>
      </c>
      <c r="D26" s="2" t="s">
        <v>3</v>
      </c>
      <c r="E26" s="2">
        <v>6</v>
      </c>
      <c r="F26">
        <v>300</v>
      </c>
    </row>
    <row r="27" spans="1:6" x14ac:dyDescent="0.2">
      <c r="A27" t="str">
        <f>HYPERLINK(".\links\pep\Cf-128-pep.txt","Cf-128")</f>
        <v>Cf-128</v>
      </c>
      <c r="B27" t="s">
        <v>465</v>
      </c>
      <c r="C27" s="2" t="s">
        <v>5</v>
      </c>
      <c r="D27" s="2" t="s">
        <v>3</v>
      </c>
      <c r="E27" s="2">
        <v>6</v>
      </c>
      <c r="F27">
        <v>756</v>
      </c>
    </row>
    <row r="28" spans="1:6" x14ac:dyDescent="0.2">
      <c r="A28" t="str">
        <f>HYPERLINK(".\links\pep\Cf-125-pep.txt","Cf-125")</f>
        <v>Cf-125</v>
      </c>
      <c r="B28" t="s">
        <v>464</v>
      </c>
      <c r="C28" s="2" t="s">
        <v>5</v>
      </c>
      <c r="D28" s="2" t="s">
        <v>3</v>
      </c>
      <c r="E28" s="2">
        <v>6</v>
      </c>
      <c r="F28">
        <v>234</v>
      </c>
    </row>
    <row r="29" spans="1:6" x14ac:dyDescent="0.2">
      <c r="A29" t="str">
        <f>HYPERLINK(".\links\pep\Cf-107-pep.txt","Cf-107")</f>
        <v>Cf-107</v>
      </c>
      <c r="B29" t="s">
        <v>458</v>
      </c>
      <c r="C29" s="2" t="s">
        <v>5</v>
      </c>
      <c r="D29" s="2" t="s">
        <v>3</v>
      </c>
      <c r="E29" s="2">
        <v>6</v>
      </c>
      <c r="F29">
        <v>708</v>
      </c>
    </row>
    <row r="30" spans="1:6" x14ac:dyDescent="0.2">
      <c r="A30" t="str">
        <f>HYPERLINK(".\links\pep\Cf-152-pep.txt","Cf-152")</f>
        <v>Cf-152</v>
      </c>
      <c r="B30" t="s">
        <v>470</v>
      </c>
      <c r="C30" s="2" t="s">
        <v>5</v>
      </c>
      <c r="D30" s="2" t="s">
        <v>3</v>
      </c>
      <c r="E30" s="2">
        <v>5</v>
      </c>
      <c r="F30">
        <v>369</v>
      </c>
    </row>
    <row r="31" spans="1:6" x14ac:dyDescent="0.2">
      <c r="A31" t="str">
        <f>HYPERLINK(".\links\pep\Cf-146-pep.txt","Cf-146")</f>
        <v>Cf-146</v>
      </c>
      <c r="B31" t="s">
        <v>468</v>
      </c>
      <c r="C31" s="2" t="s">
        <v>4</v>
      </c>
      <c r="D31" s="2" t="s">
        <v>3</v>
      </c>
      <c r="E31" s="2">
        <v>5</v>
      </c>
      <c r="F31">
        <v>405</v>
      </c>
    </row>
    <row r="32" spans="1:6" x14ac:dyDescent="0.2">
      <c r="A32" t="str">
        <f>HYPERLINK(".\links\pep\Cf-163-pep.txt","Cf-163")</f>
        <v>Cf-163</v>
      </c>
      <c r="B32" t="s">
        <v>475</v>
      </c>
      <c r="C32" s="2" t="s">
        <v>10</v>
      </c>
      <c r="D32" s="2" t="s">
        <v>3</v>
      </c>
      <c r="E32" s="2">
        <v>5</v>
      </c>
      <c r="F32">
        <v>366</v>
      </c>
    </row>
    <row r="33" spans="1:6" x14ac:dyDescent="0.2">
      <c r="A33" t="str">
        <f>HYPERLINK(".\links\pep\Cf-151-pep.txt","Cf-151")</f>
        <v>Cf-151</v>
      </c>
      <c r="B33" t="s">
        <v>469</v>
      </c>
      <c r="C33" s="2" t="s">
        <v>9</v>
      </c>
      <c r="D33" s="2" t="s">
        <v>3</v>
      </c>
      <c r="E33" s="2">
        <v>5</v>
      </c>
      <c r="F33">
        <v>252</v>
      </c>
    </row>
    <row r="34" spans="1:6" x14ac:dyDescent="0.2">
      <c r="A34" t="str">
        <f>HYPERLINK(".\links\pep\Cf-153-pep.txt","Cf-153")</f>
        <v>Cf-153</v>
      </c>
      <c r="B34" t="s">
        <v>471</v>
      </c>
      <c r="C34" s="2" t="s">
        <v>10</v>
      </c>
      <c r="D34" s="2" t="s">
        <v>3</v>
      </c>
      <c r="E34" s="2">
        <v>5</v>
      </c>
      <c r="F34">
        <v>303</v>
      </c>
    </row>
    <row r="35" spans="1:6" x14ac:dyDescent="0.2">
      <c r="A35" t="str">
        <f>HYPERLINK(".\links\pep\Cf-97-pep.txt","Cf-97")</f>
        <v>Cf-97</v>
      </c>
      <c r="B35" t="s">
        <v>519</v>
      </c>
      <c r="C35" s="2" t="s">
        <v>8</v>
      </c>
      <c r="D35" s="2" t="s">
        <v>3</v>
      </c>
      <c r="E35" s="2">
        <v>5</v>
      </c>
      <c r="F35">
        <v>468</v>
      </c>
    </row>
    <row r="36" spans="1:6" x14ac:dyDescent="0.2">
      <c r="A36" t="str">
        <f>HYPERLINK(".\links\pep\Cf-162-pep.txt","Cf-162")</f>
        <v>Cf-162</v>
      </c>
      <c r="B36" t="s">
        <v>474</v>
      </c>
      <c r="C36" s="2" t="s">
        <v>5</v>
      </c>
      <c r="D36" s="2" t="s">
        <v>3</v>
      </c>
      <c r="E36" s="2">
        <v>5</v>
      </c>
      <c r="F36">
        <v>255</v>
      </c>
    </row>
    <row r="37" spans="1:6" x14ac:dyDescent="0.2">
      <c r="A37" t="str">
        <f>HYPERLINK(".\links\pep\Cf-186-pep.txt","Cf-186")</f>
        <v>Cf-186</v>
      </c>
      <c r="B37" t="s">
        <v>485</v>
      </c>
      <c r="C37" s="2" t="s">
        <v>9</v>
      </c>
      <c r="D37" s="2" t="s">
        <v>3</v>
      </c>
      <c r="E37" s="2">
        <v>4</v>
      </c>
      <c r="F37">
        <v>372</v>
      </c>
    </row>
    <row r="38" spans="1:6" x14ac:dyDescent="0.2">
      <c r="A38" t="str">
        <f>HYPERLINK(".\links\pep\Cf-195-pep.txt","Cf-195")</f>
        <v>Cf-195</v>
      </c>
      <c r="B38" t="s">
        <v>489</v>
      </c>
      <c r="C38" s="2" t="s">
        <v>8</v>
      </c>
      <c r="D38" s="2" t="s">
        <v>3</v>
      </c>
      <c r="E38" s="2">
        <v>4</v>
      </c>
      <c r="F38">
        <v>342</v>
      </c>
    </row>
    <row r="39" spans="1:6" x14ac:dyDescent="0.2">
      <c r="A39" t="str">
        <f>HYPERLINK(".\links\pep\Cf-187-pep.txt","Cf-187")</f>
        <v>Cf-187</v>
      </c>
      <c r="B39" t="s">
        <v>486</v>
      </c>
      <c r="C39" s="2" t="s">
        <v>11</v>
      </c>
      <c r="D39" s="2" t="s">
        <v>3</v>
      </c>
      <c r="E39" s="2">
        <v>4</v>
      </c>
      <c r="F39">
        <v>468</v>
      </c>
    </row>
    <row r="40" spans="1:6" x14ac:dyDescent="0.2">
      <c r="A40" t="str">
        <f>HYPERLINK(".\links\pep\Cf-196-pep.txt","Cf-196")</f>
        <v>Cf-196</v>
      </c>
      <c r="B40" t="s">
        <v>490</v>
      </c>
      <c r="C40" s="2" t="s">
        <v>10</v>
      </c>
      <c r="D40" s="2" t="s">
        <v>3</v>
      </c>
      <c r="E40" s="2">
        <v>4</v>
      </c>
      <c r="F40">
        <v>297</v>
      </c>
    </row>
    <row r="41" spans="1:6" x14ac:dyDescent="0.2">
      <c r="A41" t="str">
        <f>HYPERLINK(".\links\pep\Cf-182-pep.txt","Cf-182")</f>
        <v>Cf-182</v>
      </c>
      <c r="B41" t="s">
        <v>484</v>
      </c>
      <c r="C41" s="2" t="s">
        <v>14</v>
      </c>
      <c r="D41" s="2" t="s">
        <v>3</v>
      </c>
      <c r="E41" s="2">
        <v>4</v>
      </c>
      <c r="F41">
        <v>399</v>
      </c>
    </row>
    <row r="42" spans="1:6" x14ac:dyDescent="0.2">
      <c r="A42" t="str">
        <f>HYPERLINK(".\links\pep\Cf-105-pep.txt","Cf-105")</f>
        <v>Cf-105</v>
      </c>
      <c r="B42" t="s">
        <v>457</v>
      </c>
      <c r="C42" s="2" t="s">
        <v>5</v>
      </c>
      <c r="D42" s="2" t="s">
        <v>3</v>
      </c>
      <c r="E42" s="2">
        <v>4</v>
      </c>
      <c r="F42">
        <v>591</v>
      </c>
    </row>
    <row r="43" spans="1:6" x14ac:dyDescent="0.2">
      <c r="A43" t="str">
        <f>HYPERLINK(".\links\pep\Cf-144-pep.txt","Cf-144")</f>
        <v>Cf-144</v>
      </c>
      <c r="B43" t="s">
        <v>467</v>
      </c>
      <c r="C43" s="2" t="s">
        <v>5</v>
      </c>
      <c r="D43" s="2" t="s">
        <v>3</v>
      </c>
      <c r="E43" s="2">
        <v>4</v>
      </c>
      <c r="F43">
        <v>261</v>
      </c>
    </row>
    <row r="44" spans="1:6" x14ac:dyDescent="0.2">
      <c r="A44" t="str">
        <f>HYPERLINK(".\links\pep\Cf-177-pep.txt","Cf-177")</f>
        <v>Cf-177</v>
      </c>
      <c r="B44" t="s">
        <v>480</v>
      </c>
      <c r="C44" s="2" t="s">
        <v>9</v>
      </c>
      <c r="D44" s="2" t="s">
        <v>3</v>
      </c>
      <c r="E44" s="2">
        <v>4</v>
      </c>
      <c r="F44">
        <v>411</v>
      </c>
    </row>
    <row r="45" spans="1:6" x14ac:dyDescent="0.2">
      <c r="A45" t="str">
        <f>HYPERLINK(".\links\pep\Cf-192-pep.txt","Cf-192")</f>
        <v>Cf-192</v>
      </c>
      <c r="B45" t="s">
        <v>488</v>
      </c>
      <c r="C45" s="2" t="s">
        <v>5</v>
      </c>
      <c r="D45" s="2" t="s">
        <v>3</v>
      </c>
      <c r="E45" s="2">
        <v>4</v>
      </c>
      <c r="F45">
        <v>240</v>
      </c>
    </row>
    <row r="46" spans="1:6" x14ac:dyDescent="0.2">
      <c r="A46" t="str">
        <f>HYPERLINK(".\links\pep\Cf-155-pep.txt","Cf-155")</f>
        <v>Cf-155</v>
      </c>
      <c r="B46" t="s">
        <v>473</v>
      </c>
      <c r="C46" s="2" t="s">
        <v>4</v>
      </c>
      <c r="D46" s="2" t="s">
        <v>3</v>
      </c>
      <c r="E46" s="2">
        <v>4</v>
      </c>
      <c r="F46">
        <v>567</v>
      </c>
    </row>
    <row r="47" spans="1:6" x14ac:dyDescent="0.2">
      <c r="A47" t="str">
        <f>HYPERLINK(".\links\pep\Cf-178-pep.txt","Cf-178")</f>
        <v>Cf-178</v>
      </c>
      <c r="B47" t="s">
        <v>481</v>
      </c>
      <c r="C47" s="2" t="s">
        <v>10</v>
      </c>
      <c r="D47" s="2" t="s">
        <v>3</v>
      </c>
      <c r="E47" s="2">
        <v>3</v>
      </c>
      <c r="F47">
        <v>240</v>
      </c>
    </row>
    <row r="48" spans="1:6" x14ac:dyDescent="0.2">
      <c r="A48" t="str">
        <f>HYPERLINK(".\links\pep\Cf-170-pep.txt","Cf-170")</f>
        <v>Cf-170</v>
      </c>
      <c r="B48" t="s">
        <v>479</v>
      </c>
      <c r="C48" s="2" t="s">
        <v>10</v>
      </c>
      <c r="D48" s="2" t="s">
        <v>3</v>
      </c>
      <c r="E48" s="2">
        <v>3</v>
      </c>
      <c r="F48">
        <v>513</v>
      </c>
    </row>
    <row r="49" spans="1:6" x14ac:dyDescent="0.2">
      <c r="A49" t="str">
        <f>HYPERLINK(".\links\pep\Cf-239-pep.txt","Cf-239")</f>
        <v>Cf-239</v>
      </c>
      <c r="B49" t="s">
        <v>496</v>
      </c>
      <c r="C49" s="2" t="s">
        <v>9</v>
      </c>
      <c r="D49" s="2" t="s">
        <v>3</v>
      </c>
      <c r="E49" s="2">
        <v>3</v>
      </c>
      <c r="F49">
        <v>663</v>
      </c>
    </row>
    <row r="50" spans="1:6" x14ac:dyDescent="0.2">
      <c r="A50" t="str">
        <f>HYPERLINK(".\links\pep\Cf-240-pep.txt","Cf-240")</f>
        <v>Cf-240</v>
      </c>
      <c r="B50" t="s">
        <v>497</v>
      </c>
      <c r="C50" s="2" t="s">
        <v>9</v>
      </c>
      <c r="D50" s="2" t="s">
        <v>3</v>
      </c>
      <c r="E50" s="2">
        <v>3</v>
      </c>
      <c r="F50">
        <v>282</v>
      </c>
    </row>
    <row r="51" spans="1:6" x14ac:dyDescent="0.2">
      <c r="A51" t="str">
        <f>HYPERLINK(".\links\pep\Cf-217-pep.txt","Cf-217")</f>
        <v>Cf-217</v>
      </c>
      <c r="B51" t="s">
        <v>448</v>
      </c>
      <c r="C51" s="2" t="s">
        <v>5</v>
      </c>
      <c r="D51" s="2" t="s">
        <v>3</v>
      </c>
      <c r="E51" s="2">
        <v>3</v>
      </c>
      <c r="F51">
        <v>306</v>
      </c>
    </row>
    <row r="52" spans="1:6" x14ac:dyDescent="0.2">
      <c r="A52" t="str">
        <f>HYPERLINK(".\links\pep\Cf-234-pep.txt","Cf-234")</f>
        <v>Cf-234</v>
      </c>
      <c r="B52" t="s">
        <v>476</v>
      </c>
      <c r="C52" s="2" t="s">
        <v>9</v>
      </c>
      <c r="D52" s="2" t="s">
        <v>3</v>
      </c>
      <c r="E52" s="2">
        <v>3</v>
      </c>
      <c r="F52">
        <v>255</v>
      </c>
    </row>
    <row r="53" spans="1:6" x14ac:dyDescent="0.2">
      <c r="A53" t="str">
        <f>HYPERLINK(".\links\pep\Cf-180-pep.txt","Cf-180")</f>
        <v>Cf-180</v>
      </c>
      <c r="B53" t="s">
        <v>482</v>
      </c>
      <c r="C53" s="2" t="s">
        <v>9</v>
      </c>
      <c r="D53" s="2" t="s">
        <v>3</v>
      </c>
      <c r="E53" s="2">
        <v>3</v>
      </c>
      <c r="F53">
        <v>450</v>
      </c>
    </row>
    <row r="54" spans="1:6" x14ac:dyDescent="0.2">
      <c r="A54" t="str">
        <f>HYPERLINK(".\links\pep\Cf-139-pep.txt","Cf-139")</f>
        <v>Cf-139</v>
      </c>
      <c r="B54" t="s">
        <v>440</v>
      </c>
      <c r="C54" s="2" t="s">
        <v>11</v>
      </c>
      <c r="D54" s="2" t="s">
        <v>3</v>
      </c>
      <c r="E54" s="2">
        <v>3</v>
      </c>
      <c r="F54">
        <v>516</v>
      </c>
    </row>
    <row r="55" spans="1:6" x14ac:dyDescent="0.2">
      <c r="A55" t="str">
        <f>HYPERLINK(".\links\pep\Cf-231-pep.txt","Cf-231")</f>
        <v>Cf-231</v>
      </c>
      <c r="B55" t="s">
        <v>495</v>
      </c>
      <c r="C55" s="2" t="s">
        <v>11</v>
      </c>
      <c r="D55" s="2" t="s">
        <v>3</v>
      </c>
      <c r="E55" s="2">
        <v>3</v>
      </c>
      <c r="F55">
        <v>378</v>
      </c>
    </row>
    <row r="56" spans="1:6" x14ac:dyDescent="0.2">
      <c r="A56" t="str">
        <f>HYPERLINK(".\links\pep\Cf-213-pep.txt","Cf-213")</f>
        <v>Cf-213</v>
      </c>
      <c r="B56" t="s">
        <v>493</v>
      </c>
      <c r="C56" s="2" t="s">
        <v>9</v>
      </c>
      <c r="D56" s="2" t="s">
        <v>3</v>
      </c>
      <c r="E56" s="2">
        <v>3</v>
      </c>
      <c r="F56">
        <v>213</v>
      </c>
    </row>
    <row r="57" spans="1:6" x14ac:dyDescent="0.2">
      <c r="A57" t="str">
        <f>HYPERLINK(".\links\pep\Cf-209-pep.txt","Cf-209")</f>
        <v>Cf-209</v>
      </c>
      <c r="B57" t="s">
        <v>492</v>
      </c>
      <c r="C57" s="2" t="s">
        <v>8</v>
      </c>
      <c r="D57" s="2" t="s">
        <v>3</v>
      </c>
      <c r="E57" s="2">
        <v>3</v>
      </c>
      <c r="F57">
        <v>240</v>
      </c>
    </row>
    <row r="58" spans="1:6" x14ac:dyDescent="0.2">
      <c r="A58" t="str">
        <f>HYPERLINK(".\links\pep\Cf-203-pep.txt","Cf-203")</f>
        <v>Cf-203</v>
      </c>
      <c r="B58" t="s">
        <v>491</v>
      </c>
      <c r="C58" s="2" t="s">
        <v>5</v>
      </c>
      <c r="D58" s="2" t="s">
        <v>3</v>
      </c>
      <c r="E58" s="2">
        <v>3</v>
      </c>
      <c r="F58">
        <v>606</v>
      </c>
    </row>
    <row r="59" spans="1:6" x14ac:dyDescent="0.2">
      <c r="A59" t="str">
        <f>HYPERLINK(".\links\pep\Cf-104-pep.txt","Cf-104")</f>
        <v>Cf-104</v>
      </c>
      <c r="B59" t="s">
        <v>457</v>
      </c>
      <c r="C59" s="2" t="s">
        <v>10</v>
      </c>
      <c r="D59" s="2" t="s">
        <v>3</v>
      </c>
      <c r="E59" s="2">
        <v>2</v>
      </c>
      <c r="F59">
        <v>564</v>
      </c>
    </row>
    <row r="60" spans="1:6" x14ac:dyDescent="0.2">
      <c r="A60" t="str">
        <f>HYPERLINK(".\links\pep\Cf-214-pep.txt","Cf-214")</f>
        <v>Cf-214</v>
      </c>
      <c r="B60" t="s">
        <v>494</v>
      </c>
      <c r="C60" s="2" t="s">
        <v>15</v>
      </c>
      <c r="D60" s="2" t="s">
        <v>3</v>
      </c>
      <c r="E60" s="2">
        <v>2</v>
      </c>
      <c r="F60">
        <v>309</v>
      </c>
    </row>
    <row r="61" spans="1:6" x14ac:dyDescent="0.2">
      <c r="A61" t="str">
        <f>HYPERLINK(".\links\pep\Cf-244-pep.txt","Cf-244")</f>
        <v>Cf-244</v>
      </c>
      <c r="B61" t="s">
        <v>603</v>
      </c>
      <c r="C61" s="2" t="s">
        <v>6</v>
      </c>
      <c r="D61" s="2" t="s">
        <v>3</v>
      </c>
      <c r="E61" s="2">
        <v>2</v>
      </c>
      <c r="F61">
        <v>414</v>
      </c>
    </row>
    <row r="83" spans="3:4" x14ac:dyDescent="0.2">
      <c r="C83" s="28"/>
      <c r="D83" s="28"/>
    </row>
    <row r="85" spans="3:4" x14ac:dyDescent="0.2">
      <c r="C85" s="28"/>
      <c r="D85" s="28"/>
    </row>
    <row r="86" spans="3:4" x14ac:dyDescent="0.2">
      <c r="C86" s="27"/>
      <c r="D86" s="27"/>
    </row>
    <row r="87" spans="3:4" x14ac:dyDescent="0.2">
      <c r="C87" s="3"/>
      <c r="D87" s="3"/>
    </row>
    <row r="88" spans="3:4" x14ac:dyDescent="0.2">
      <c r="C88" s="27"/>
      <c r="D88" s="27"/>
    </row>
  </sheetData>
  <sortState ref="A2:I35">
    <sortCondition ref="E2:E3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cf-cds-cds</vt:lpstr>
      <vt:lpstr>Comparisons</vt:lpstr>
      <vt:lpstr>2GenBank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Ribeiro, Jose (NIH/NIAID) [E]</dc:creator>
  <cp:lastModifiedBy>Isabel Larot</cp:lastModifiedBy>
  <dcterms:created xsi:type="dcterms:W3CDTF">2011-12-02T17:30:48Z</dcterms:created>
  <dcterms:modified xsi:type="dcterms:W3CDTF">2012-08-31T21:21:07Z</dcterms:modified>
</cp:coreProperties>
</file>