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My Drive\Projects-Ryerson\Food allergy review\Manuscript\Submission\Revision\"/>
    </mc:Choice>
  </mc:AlternateContent>
  <bookViews>
    <workbookView xWindow="0" yWindow="0" windowWidth="23730" windowHeight="9885"/>
  </bookViews>
  <sheets>
    <sheet name="Knowledge" sheetId="4" r:id="rId1"/>
    <sheet name="Behaviour" sheetId="3" r:id="rId2"/>
    <sheet name="Training" sheetId="6" r:id="rId3"/>
    <sheet name="Self-Efficacy" sheetId="5" r:id="rId4"/>
    <sheet name="Celiac" sheetId="9" r:id="rId5"/>
  </sheets>
  <definedNames>
    <definedName name="_xlnm._FilterDatabase" localSheetId="1" hidden="1">Behaviour!$A$1:$AB$63</definedName>
    <definedName name="_xlnm._FilterDatabase" localSheetId="4" hidden="1">Celiac!$A$1:$AB$19</definedName>
    <definedName name="_xlnm._FilterDatabase" localSheetId="0" hidden="1">Knowledge!$A$1:$AC$190</definedName>
    <definedName name="_xlnm._FilterDatabase" localSheetId="3" hidden="1">'Self-Efficacy'!$A$1:$AO$1</definedName>
    <definedName name="_xlnm._FilterDatabase" localSheetId="2" hidden="1">Training!$A$1:$AB$29</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Y6" i="9" l="1"/>
  <c r="AA6" i="9"/>
  <c r="AA7" i="9"/>
  <c r="AA8" i="9"/>
  <c r="AA9" i="9"/>
  <c r="Y2" i="9"/>
  <c r="AA2" i="9"/>
  <c r="AA3" i="9"/>
  <c r="Y4" i="9"/>
  <c r="AA4" i="9"/>
  <c r="Y5" i="9"/>
  <c r="AA5" i="9"/>
  <c r="AA19" i="9"/>
  <c r="AA18" i="9"/>
  <c r="AA17" i="9"/>
  <c r="Y16" i="9"/>
  <c r="AA16" i="9"/>
  <c r="AA15" i="9"/>
  <c r="AA14" i="9"/>
  <c r="AA13" i="9"/>
  <c r="Y12" i="9"/>
  <c r="AA12" i="9"/>
  <c r="AA11" i="9"/>
  <c r="AA10" i="9"/>
  <c r="AB186" i="4"/>
  <c r="AB187" i="4"/>
  <c r="Z188" i="4"/>
  <c r="AA188" i="4"/>
  <c r="AB188" i="4"/>
  <c r="AB189" i="4"/>
  <c r="AB190" i="4"/>
  <c r="AB182" i="4"/>
  <c r="AB183" i="4"/>
  <c r="AB184" i="4"/>
  <c r="AB185" i="4"/>
  <c r="AB177" i="4"/>
  <c r="AB178" i="4"/>
  <c r="Z179" i="4"/>
  <c r="AA179" i="4"/>
  <c r="AB179" i="4"/>
  <c r="AB180" i="4"/>
  <c r="AB181" i="4"/>
  <c r="AB172" i="4"/>
  <c r="AB173" i="4"/>
  <c r="Z174" i="4"/>
  <c r="AA174" i="4"/>
  <c r="AB174" i="4"/>
  <c r="AB175" i="4"/>
  <c r="AB176" i="4"/>
  <c r="AB168" i="4"/>
  <c r="AB169" i="4"/>
  <c r="AB170" i="4"/>
  <c r="AB171" i="4"/>
  <c r="AB164" i="4"/>
  <c r="AB165" i="4"/>
  <c r="AB166" i="4"/>
  <c r="AB167" i="4"/>
  <c r="AB160" i="4"/>
  <c r="AB161" i="4"/>
  <c r="AB162" i="4"/>
  <c r="AB163" i="4"/>
  <c r="AB148" i="4"/>
  <c r="Z149" i="4"/>
  <c r="AB149" i="4"/>
  <c r="AB150" i="4"/>
  <c r="AB151" i="4"/>
  <c r="AB152" i="4"/>
  <c r="AB153" i="4"/>
  <c r="AB154" i="4"/>
  <c r="AB134" i="4"/>
  <c r="AB135" i="4"/>
  <c r="Z136" i="4"/>
  <c r="AB136" i="4"/>
  <c r="AB137" i="4"/>
  <c r="AB138" i="4"/>
  <c r="AB139" i="4"/>
  <c r="Z140" i="4"/>
  <c r="AA140" i="4"/>
  <c r="AB140" i="4"/>
  <c r="AB141" i="4"/>
  <c r="AB142" i="4"/>
  <c r="AB125" i="4"/>
  <c r="AB126" i="4"/>
  <c r="Z127" i="4"/>
  <c r="AB127" i="4"/>
  <c r="AB128" i="4"/>
  <c r="AB129" i="4"/>
  <c r="AB130" i="4"/>
  <c r="Z131" i="4"/>
  <c r="AA131" i="4"/>
  <c r="AB131" i="4"/>
  <c r="AB132" i="4"/>
  <c r="AB133" i="4"/>
  <c r="AB116" i="4"/>
  <c r="AB117" i="4"/>
  <c r="Z118" i="4"/>
  <c r="AB118" i="4"/>
  <c r="AB119" i="4"/>
  <c r="AB120" i="4"/>
  <c r="AB121" i="4"/>
  <c r="Z122" i="4"/>
  <c r="AA122" i="4"/>
  <c r="AB122" i="4"/>
  <c r="AB123" i="4"/>
  <c r="AB124" i="4"/>
  <c r="AB102" i="4"/>
  <c r="AB103" i="4"/>
  <c r="Z104" i="4"/>
  <c r="AB104" i="4"/>
  <c r="AB105" i="4"/>
  <c r="AB106" i="4"/>
  <c r="AB107" i="4"/>
  <c r="Z108" i="4"/>
  <c r="AA108" i="4"/>
  <c r="AB108" i="4"/>
  <c r="AB109" i="4"/>
  <c r="AB110" i="4"/>
  <c r="AB69" i="4"/>
  <c r="AB70" i="4"/>
  <c r="AB71" i="4"/>
  <c r="AB72" i="4"/>
  <c r="AB96" i="4"/>
  <c r="AB97" i="4"/>
  <c r="AB98" i="4"/>
  <c r="Z99" i="4"/>
  <c r="AB99" i="4"/>
  <c r="AB100" i="4"/>
  <c r="Z101" i="4"/>
  <c r="AB101" i="4"/>
  <c r="Z77" i="4"/>
  <c r="AB77" i="4"/>
  <c r="AB78" i="4"/>
  <c r="Z79" i="4"/>
  <c r="AB79" i="4"/>
  <c r="Z80" i="4"/>
  <c r="AB80" i="4"/>
  <c r="Z81" i="4"/>
  <c r="AB81" i="4"/>
  <c r="AB82" i="4"/>
  <c r="AB83" i="4"/>
  <c r="AB84" i="4"/>
  <c r="Z85" i="4"/>
  <c r="AB85" i="4"/>
  <c r="AB86" i="4"/>
  <c r="Z87" i="4"/>
  <c r="AB87" i="4"/>
  <c r="Z88" i="4"/>
  <c r="AA88" i="4"/>
  <c r="AB88" i="4"/>
  <c r="AB89" i="4"/>
  <c r="AB90" i="4"/>
  <c r="AB73" i="4"/>
  <c r="AB74" i="4"/>
  <c r="AB75" i="4"/>
  <c r="AB76" i="4"/>
  <c r="Z60" i="4"/>
  <c r="AB60" i="4"/>
  <c r="AB61" i="4"/>
  <c r="Z62" i="4"/>
  <c r="AB62" i="4"/>
  <c r="Z63" i="4"/>
  <c r="AB63" i="4"/>
  <c r="AB64" i="4"/>
  <c r="AB65" i="4"/>
  <c r="Z66" i="4"/>
  <c r="AB66" i="4"/>
  <c r="Z67" i="4"/>
  <c r="AB67" i="4"/>
  <c r="Z68" i="4"/>
  <c r="AA68" i="4"/>
  <c r="AB68" i="4"/>
  <c r="Z43" i="4"/>
  <c r="AB43" i="4"/>
  <c r="AB44" i="4"/>
  <c r="Z45" i="4"/>
  <c r="AB45" i="4"/>
  <c r="Z46" i="4"/>
  <c r="AB46" i="4"/>
  <c r="Z47" i="4"/>
  <c r="AB47" i="4"/>
  <c r="AB48" i="4"/>
  <c r="AB49" i="4"/>
  <c r="Z50" i="4"/>
  <c r="AB50" i="4"/>
  <c r="AB51" i="4"/>
  <c r="Z52" i="4"/>
  <c r="AB52" i="4"/>
  <c r="AB53" i="4"/>
  <c r="AB54" i="4"/>
  <c r="AB36" i="4"/>
  <c r="AB37" i="4"/>
  <c r="AB38" i="4"/>
  <c r="AB39" i="4"/>
  <c r="Z22" i="4"/>
  <c r="AB22" i="4"/>
  <c r="AB23" i="4"/>
  <c r="Z24" i="4"/>
  <c r="AB24" i="4"/>
  <c r="Z25" i="4"/>
  <c r="AB25" i="4"/>
  <c r="Z26" i="4"/>
  <c r="AB26" i="4"/>
  <c r="AB27" i="4"/>
  <c r="AB28" i="4"/>
  <c r="AB29" i="4"/>
  <c r="Z30" i="4"/>
  <c r="AB30" i="4"/>
  <c r="Z31" i="4"/>
  <c r="AB31" i="4"/>
  <c r="AB32" i="4"/>
  <c r="Z33" i="4"/>
  <c r="AB33" i="4"/>
  <c r="Z34" i="4"/>
  <c r="AA34" i="4"/>
  <c r="AB34" i="4"/>
  <c r="AB35" i="4"/>
  <c r="AB6" i="4"/>
  <c r="Z7" i="4"/>
  <c r="AB7" i="4"/>
  <c r="AB8" i="4"/>
  <c r="AB9" i="4"/>
  <c r="Z10" i="4"/>
  <c r="AB10" i="4"/>
  <c r="Z11" i="4"/>
  <c r="AB11" i="4"/>
  <c r="AB12" i="4"/>
  <c r="Z13" i="4"/>
  <c r="AA13" i="4"/>
  <c r="AB13" i="4"/>
  <c r="AB14" i="4"/>
  <c r="AB15" i="4"/>
  <c r="AB2" i="4"/>
  <c r="AB3" i="4"/>
  <c r="AB4" i="4"/>
  <c r="AB5" i="4"/>
  <c r="AB115" i="4"/>
  <c r="AB147" i="4"/>
  <c r="AB158" i="4"/>
  <c r="Z21" i="4"/>
  <c r="AB21" i="4"/>
  <c r="AB159" i="4"/>
  <c r="AB112" i="4"/>
  <c r="AB144" i="4"/>
  <c r="AB42" i="4"/>
  <c r="AB58" i="4"/>
  <c r="Z59" i="4"/>
  <c r="AA59" i="4"/>
  <c r="AB59" i="4"/>
  <c r="AB93" i="4"/>
  <c r="AB16" i="4"/>
  <c r="AB111" i="4"/>
  <c r="AB143" i="4"/>
  <c r="AB155" i="4"/>
  <c r="AB17" i="4"/>
  <c r="AB94" i="4"/>
  <c r="AB113" i="4"/>
  <c r="AB145" i="4"/>
  <c r="AB156" i="4"/>
  <c r="AB95" i="4"/>
  <c r="AB18" i="4"/>
  <c r="AB114" i="4"/>
  <c r="AB146" i="4"/>
  <c r="AB157" i="4"/>
  <c r="AB41" i="4"/>
  <c r="AB57" i="4"/>
  <c r="AB92" i="4"/>
  <c r="Z20" i="4"/>
  <c r="AB20" i="4"/>
  <c r="AB40" i="4"/>
  <c r="AB56" i="4"/>
  <c r="AB91" i="4"/>
  <c r="AB55" i="4"/>
  <c r="AB19" i="4"/>
  <c r="AA23" i="6"/>
  <c r="AA24" i="6"/>
  <c r="Y25" i="6"/>
  <c r="Z25" i="6"/>
  <c r="AA25" i="6"/>
  <c r="AA26" i="6"/>
  <c r="AA27" i="6"/>
  <c r="Y28" i="6"/>
  <c r="AA28" i="6"/>
  <c r="AA29" i="6"/>
  <c r="Y2" i="6"/>
  <c r="AA2" i="6"/>
  <c r="AA3" i="6"/>
  <c r="AA4" i="6"/>
  <c r="AA5" i="6"/>
  <c r="AA6" i="6"/>
  <c r="AA7" i="6"/>
  <c r="AA8" i="6"/>
  <c r="AA9" i="6"/>
  <c r="AA10" i="6"/>
  <c r="AA11" i="6"/>
  <c r="AA12" i="6"/>
  <c r="Y13" i="6"/>
  <c r="AA13" i="6"/>
  <c r="Z14" i="6"/>
  <c r="AA14" i="6"/>
  <c r="Y15" i="6"/>
  <c r="AA15" i="6"/>
  <c r="AA16" i="6"/>
  <c r="AA17" i="6"/>
  <c r="AA18" i="6"/>
  <c r="Y19" i="6"/>
  <c r="Z19" i="6"/>
  <c r="AA19" i="6"/>
  <c r="AA20" i="6"/>
  <c r="AA21" i="6"/>
  <c r="AA22" i="6"/>
  <c r="AA49" i="3"/>
  <c r="AA50" i="3"/>
  <c r="AA51" i="3"/>
  <c r="AA52" i="3"/>
  <c r="AA53" i="3"/>
  <c r="AA54" i="3"/>
  <c r="Y55" i="3"/>
  <c r="AA55" i="3"/>
  <c r="Y32" i="3"/>
  <c r="AA32" i="3"/>
  <c r="Y33" i="3"/>
  <c r="AA33" i="3"/>
  <c r="AA34" i="3"/>
  <c r="Y35" i="3"/>
  <c r="AA35" i="3"/>
  <c r="AA36" i="3"/>
  <c r="AA37" i="3"/>
  <c r="Y38" i="3"/>
  <c r="AA38" i="3"/>
  <c r="Y39" i="3"/>
  <c r="AA39" i="3"/>
  <c r="AA40" i="3"/>
  <c r="AA41" i="3"/>
  <c r="AA42" i="3"/>
  <c r="AA43" i="3"/>
  <c r="AA44" i="3"/>
  <c r="AA45" i="3"/>
  <c r="Y46" i="3"/>
  <c r="AA46" i="3"/>
  <c r="AA47" i="3"/>
  <c r="AA48" i="3"/>
  <c r="Y23" i="3"/>
  <c r="AA23" i="3"/>
  <c r="AA24" i="3"/>
  <c r="AA25" i="3"/>
  <c r="AA26" i="3"/>
  <c r="AA27" i="3"/>
  <c r="AA28" i="3"/>
  <c r="Y29" i="3"/>
  <c r="AA29" i="3"/>
  <c r="Y30" i="3"/>
  <c r="AA30" i="3"/>
  <c r="AA31" i="3"/>
  <c r="AA11" i="3"/>
  <c r="AA12" i="3"/>
  <c r="AA13" i="3"/>
  <c r="AA14" i="3"/>
  <c r="AA15" i="3"/>
  <c r="AA16" i="3"/>
  <c r="AA17" i="3"/>
  <c r="AA18" i="3"/>
  <c r="AA19" i="3"/>
  <c r="AA20" i="3"/>
  <c r="AA21" i="3"/>
  <c r="AA22" i="3"/>
  <c r="AA6" i="3"/>
  <c r="AA7" i="3"/>
  <c r="AA8" i="3"/>
  <c r="AA9" i="3"/>
  <c r="Y10" i="3"/>
  <c r="AA10" i="3"/>
  <c r="AA2" i="3"/>
  <c r="AA3" i="3"/>
  <c r="AA4" i="3"/>
  <c r="AA5" i="3"/>
  <c r="Y63" i="3"/>
  <c r="AA63" i="3"/>
  <c r="AA62" i="3"/>
  <c r="Z61" i="3"/>
  <c r="AA61" i="3"/>
  <c r="AA60" i="3"/>
  <c r="AA59" i="3"/>
  <c r="AA58" i="3"/>
  <c r="AA57" i="3"/>
  <c r="AA56" i="3"/>
  <c r="AM12" i="5"/>
  <c r="Z10" i="5"/>
  <c r="AM10" i="5"/>
  <c r="AM6" i="5"/>
  <c r="AL9" i="5"/>
  <c r="Z9" i="5"/>
  <c r="AM9" i="5"/>
  <c r="AM8" i="5"/>
  <c r="AM5" i="5"/>
  <c r="Z4" i="5"/>
  <c r="AM4" i="5"/>
  <c r="AM3" i="5"/>
  <c r="AJ12" i="5"/>
  <c r="AJ10" i="5"/>
  <c r="AI6" i="5"/>
  <c r="AJ6" i="5"/>
  <c r="AI9" i="5"/>
  <c r="AJ9" i="5"/>
  <c r="AJ8" i="5"/>
  <c r="AJ5" i="5"/>
  <c r="AJ4" i="5"/>
  <c r="AJ3" i="5"/>
  <c r="AG12" i="5"/>
  <c r="AG10" i="5"/>
  <c r="AF6" i="5"/>
  <c r="AG6" i="5"/>
  <c r="AF9" i="5"/>
  <c r="AG9" i="5"/>
  <c r="AG8" i="5"/>
  <c r="AG5" i="5"/>
  <c r="AG4" i="5"/>
  <c r="AG3" i="5"/>
  <c r="AD12" i="5"/>
  <c r="AD10" i="5"/>
  <c r="AC6" i="5"/>
  <c r="AD6" i="5"/>
  <c r="AC9" i="5"/>
  <c r="AD9" i="5"/>
  <c r="AD8" i="5"/>
  <c r="AD5" i="5"/>
  <c r="AD4" i="5"/>
  <c r="AD3" i="5"/>
  <c r="Y11" i="5"/>
  <c r="AA11" i="5"/>
  <c r="Y12" i="5"/>
  <c r="AA12" i="5"/>
  <c r="AA10" i="5"/>
  <c r="Y6" i="5"/>
  <c r="AA6" i="5"/>
  <c r="AA7" i="5"/>
  <c r="Y9" i="5"/>
  <c r="AA9" i="5"/>
  <c r="Y8" i="5"/>
  <c r="AA8" i="5"/>
  <c r="Y5" i="5"/>
  <c r="AA5" i="5"/>
  <c r="AA4" i="5"/>
  <c r="AA3" i="5"/>
  <c r="AA2" i="5"/>
  <c r="AL11" i="5"/>
  <c r="AI11" i="5"/>
  <c r="AF11" i="5"/>
  <c r="AC11" i="5"/>
</calcChain>
</file>

<file path=xl/sharedStrings.xml><?xml version="1.0" encoding="utf-8"?>
<sst xmlns="http://schemas.openxmlformats.org/spreadsheetml/2006/main" count="6219" uniqueCount="599">
  <si>
    <t>Refid</t>
  </si>
  <si>
    <t>Bias_selection</t>
  </si>
  <si>
    <t>Author</t>
  </si>
  <si>
    <t>Title</t>
  </si>
  <si>
    <t>Reference</t>
  </si>
  <si>
    <t>Journal</t>
  </si>
  <si>
    <t>Year</t>
  </si>
  <si>
    <t>Volume</t>
  </si>
  <si>
    <t>Issue</t>
  </si>
  <si>
    <t>Start page</t>
  </si>
  <si>
    <t>End page</t>
  </si>
  <si>
    <t>Reviewer</t>
  </si>
  <si>
    <t>Ajala A.R., Cruz A.G., Faria J.A.F., Walter E.H.M., Granato D., Sant Ana A.S.</t>
  </si>
  <si>
    <t>Food allergens: Knowledge and practices of food handlers in restaurants</t>
  </si>
  <si>
    <t>Food Control</t>
  </si>
  <si>
    <t>IY</t>
  </si>
  <si>
    <t>Simpson S., Lebwohl B., Lewis S.K., Tennyson C.A., Sanders D.S., Green P.H.</t>
  </si>
  <si>
    <t>Awareness of gluten-related disorders: A survey of the general public, chefs and patients</t>
  </si>
  <si>
    <t>e-SPEN</t>
  </si>
  <si>
    <t>e227</t>
  </si>
  <si>
    <t>e231</t>
  </si>
  <si>
    <t>Wham C.A., Sharma K.M.</t>
  </si>
  <si>
    <t>Knowledge of café and restaurant managers to provide a safe meal to food allergic consumers</t>
  </si>
  <si>
    <t>Nutrition and Dietetics</t>
  </si>
  <si>
    <t>Ahuja,R.;Sicherer,S. H.</t>
  </si>
  <si>
    <t>Food-allergy management from the perspective of restaurant and food establishment personnel</t>
  </si>
  <si>
    <t>Journal Article</t>
  </si>
  <si>
    <t>Annals of Allergy, Asthma and Immunology</t>
  </si>
  <si>
    <t>Choi,J. H.;Rajagopal,L.</t>
  </si>
  <si>
    <t>Food allergy knowledge, attitudes, practices, and training of foodservice workers at a university foodservice operation in the Midwestern United States</t>
  </si>
  <si>
    <t>Bias_measure</t>
  </si>
  <si>
    <t>Bias_exclusions</t>
  </si>
  <si>
    <t>Bias_reporting</t>
  </si>
  <si>
    <t>Bias_other</t>
  </si>
  <si>
    <t>Bias_overall</t>
  </si>
  <si>
    <t>Outcome_category</t>
  </si>
  <si>
    <t>Outcome_description</t>
  </si>
  <si>
    <t>Outcome_measure</t>
  </si>
  <si>
    <t>Population</t>
  </si>
  <si>
    <t>Num_positive</t>
  </si>
  <si>
    <t>Num_total</t>
  </si>
  <si>
    <t>Response_options</t>
  </si>
  <si>
    <t>Comments</t>
  </si>
  <si>
    <t>Ordinal_category2</t>
  </si>
  <si>
    <t>Ordinal_category3</t>
  </si>
  <si>
    <t>Ordinal_category4</t>
  </si>
  <si>
    <t>Ordinal_category5</t>
  </si>
  <si>
    <t>Topic_category</t>
  </si>
  <si>
    <t xml:space="preserve">Low risk - questions were piloted and revised during face-to-face interviews (n   25) with restaurant personnel to address clarityand content. </t>
  </si>
  <si>
    <t>Unclear - convenience sample=Food establishments were selected to survey a broad range of food provider types (sit-down restaurants, fast food, and take-out) and ethnic fare; 70% response rate</t>
  </si>
  <si>
    <t>Low risk</t>
  </si>
  <si>
    <t>Unclear</t>
  </si>
  <si>
    <t>Food allergies</t>
  </si>
  <si>
    <t>Knowledge</t>
  </si>
  <si>
    <t>Previous food-allergy training</t>
  </si>
  <si>
    <t>Not reported</t>
  </si>
  <si>
    <t>Yes, no, unsure</t>
  </si>
  <si>
    <t>Behaviour/practice</t>
  </si>
  <si>
    <t>Plan in place to handle a food allergy emergency</t>
  </si>
  <si>
    <t>Plan in place to provide a safe meal</t>
  </si>
  <si>
    <t>Individuals with food allergies can safely consume the foods that cause the allergies if only a small amount is consumed</t>
  </si>
  <si>
    <t>Chefs</t>
  </si>
  <si>
    <t>High heat (eg, oil frying) can destroy most food allergens</t>
  </si>
  <si>
    <t>If an individual is having an allergic reaction, it is appropriate to serve them water to “dilute” the allergen and suppress the reaction</t>
  </si>
  <si>
    <t>Removing an allergen from a finished meal (eg, taking off nuts) may be required to provide a safe meal for a food-allergic patron</t>
  </si>
  <si>
    <t>Selected the following as “major allergens”=peanut</t>
  </si>
  <si>
    <t>Selected the following as “major allergens”=Seafood</t>
  </si>
  <si>
    <t>Selected the following as “major allergens”=Milk/dairy</t>
  </si>
  <si>
    <t>Selected the following as “major allergens”=egg</t>
  </si>
  <si>
    <t xml:space="preserve">Unclear </t>
  </si>
  <si>
    <t>Unclear - no details provided</t>
  </si>
  <si>
    <t>Is there any plan to produce safe food in terms of allergens?</t>
  </si>
  <si>
    <t>Is there any training about food allergy?</t>
  </si>
  <si>
    <t>Yes vs. no, don't know</t>
  </si>
  <si>
    <t>Individuals with food allergies can safely consume the foods that cause the allergies if only a small amount is consumed?</t>
  </si>
  <si>
    <t>Can high temperature (deep-frying, cooking) destroy food allergens?</t>
  </si>
  <si>
    <t>If someone has an allergic reaction, is it correct to offer water in order to ‘‘dilute” the allergen and stop the reaction?</t>
  </si>
  <si>
    <t>If you remove allergenic food items (such as walnuts) from a finished dish, will it prevent the client from having an allergic reaction?</t>
  </si>
  <si>
    <t>Are you used to checking the label of food products to find out whether it has any ingredient that may cause food allergy?</t>
  </si>
  <si>
    <t>Select below the foods that you consider as themajor causative agents of food allergies=seafood</t>
  </si>
  <si>
    <t>Select below the foods that you consider as themajor causative agents of food allergies=milk</t>
  </si>
  <si>
    <t>Select below the foods that you consider as themajor causative agents of food allergies=egg</t>
  </si>
  <si>
    <t>Select below the foods that you consider as themajor causative agents of food allergies=peanut</t>
  </si>
  <si>
    <t>Select below the foods that you consider as themajor causative agents of food allergies=nuts</t>
  </si>
  <si>
    <t>Yes vs. no</t>
  </si>
  <si>
    <t>Celiac disease/gluten-free foods</t>
  </si>
  <si>
    <t>Have heard of Celiac disease</t>
  </si>
  <si>
    <t>Have heard of gluten sensitivity</t>
  </si>
  <si>
    <t>Have heard of peanut allergy</t>
  </si>
  <si>
    <t>Self-reported</t>
  </si>
  <si>
    <t>Correct/incorrect response</t>
  </si>
  <si>
    <t>Low risk - The questionnaire was reviewed by three individuals with expertise in food safety and foodservice operations to establish content and construct validity. The questionnairewas then administered to students (n ¼ 42) in an undergraduate food safety class to determine face validity.</t>
  </si>
  <si>
    <t xml:space="preserve">Unclear - convenience sample of foodservice employees working in university dining </t>
  </si>
  <si>
    <t>Correct vs. incorrect</t>
  </si>
  <si>
    <t>Food allergies are caused by the body’s negative reaction to which of the following? (proteins)</t>
  </si>
  <si>
    <t>Which of the following is the best treatment for controlling a severe food allergic reaction? (epinephrine)</t>
  </si>
  <si>
    <t>If a guest is experiencing an allergic reaction, what is the first thing you should do? (get medical help immediately)</t>
  </si>
  <si>
    <t>Why can fried foods be dangerous for individuals with food allergies? (cross-contact if using same oil)</t>
  </si>
  <si>
    <t>Correct/incorrect response (multiple choice)</t>
  </si>
  <si>
    <t>Always vs. sometimes, never</t>
  </si>
  <si>
    <t>Ordinal_category2_des</t>
  </si>
  <si>
    <t>Ordinal_category3_des</t>
  </si>
  <si>
    <t>Ordinal_category4_des</t>
  </si>
  <si>
    <t>Ordinal_category5_des</t>
  </si>
  <si>
    <t>don't know</t>
  </si>
  <si>
    <t>unsure</t>
  </si>
  <si>
    <t>I try to listen carefully, understand, and then answer customers’ questions about food allergies or allergens in the food.</t>
  </si>
  <si>
    <t>If one of my customers has a food allergy, I communicate the allergen information to the cook to ensure that the food is prepared safely and is allergen-free.</t>
  </si>
  <si>
    <t>I have received training on how to avoid cross-contact between foods during food preparation/service.</t>
  </si>
  <si>
    <t>Unclear - indicates piloted but no details given, however uses same questionnaire as previous study</t>
  </si>
  <si>
    <t>Managers/owners - 60 managers, 64 owners</t>
  </si>
  <si>
    <t>Training program in place for staff</t>
  </si>
  <si>
    <t>Keep written recipes of ingredients used in meals</t>
  </si>
  <si>
    <t>Selected the following as allergens to be declared to their customers=peanuts</t>
  </si>
  <si>
    <t>Selected the following as allergens to be declared to their customers=dairy</t>
  </si>
  <si>
    <t>Selected the following as allergens to be declared to their customers=eggs</t>
  </si>
  <si>
    <t>Selected the following as allergens to be declared to their customers=tree nuts</t>
  </si>
  <si>
    <t>Selected the following as allergens to be declared to their customers=seafood</t>
  </si>
  <si>
    <t>% correct response</t>
  </si>
  <si>
    <t>Multiple - 42 managers, 24 chefs, 32 servers, 1 nutrition advisor, 1 host</t>
  </si>
  <si>
    <t>Multiple - 12 managers, 62 handlers (16% cooks, 24% kitchen assistants, 43% servers)</t>
  </si>
  <si>
    <t>Multiple - various food workers (149 food prep, 167 service, 103 dishes/cleaning, 78 non-food contact), 11 other)</t>
  </si>
  <si>
    <t>Lee,Y. M.;Xu,H.</t>
  </si>
  <si>
    <t>Food Allergy Knowledge, Attitudes, and Preparedness Among Restaurant Managerial Staff</t>
  </si>
  <si>
    <t>Journal of Foodservice Business Research</t>
  </si>
  <si>
    <t>Low risk - pilot tested face-to-face by four individuals holding management positions in restaurants</t>
  </si>
  <si>
    <t>Unclear - The final online survey was administered by a professional market research company to reach the largest possible number of study samples nationwide.</t>
  </si>
  <si>
    <t>Multiple - managers (n = 58), chefs (n = 36), and owners (n = 13) made up more than 98% of the respondents</t>
  </si>
  <si>
    <t>In response to food allergies=stating the food allergens on the menus</t>
  </si>
  <si>
    <t>In response to food allergies=modifying recipes for customers with food allergies upon request</t>
  </si>
  <si>
    <t>In response to food allergies=posting food allergens information on the restaurant’s website</t>
  </si>
  <si>
    <t>Identified symptoms of allergic reaction=Anaphylaxis</t>
  </si>
  <si>
    <t>Identified symptoms of allergic reaction=Vomiting</t>
  </si>
  <si>
    <t>Identified symptoms of allergic reaction=Hives/rashes</t>
  </si>
  <si>
    <t>Identified symptoms of allergic reaction=Facial swelling</t>
  </si>
  <si>
    <t>Identified symptoms of allergic reaction=Swelling of throat</t>
  </si>
  <si>
    <t>Identified symptoms of allergic reaction=Tingling (numbness) in or around the mouth</t>
  </si>
  <si>
    <t>Identified symptoms of allergic reaction=Shortness of breath</t>
  </si>
  <si>
    <t>Which of the following are the EIGHT MAJOR food allergens?=eggs</t>
  </si>
  <si>
    <t>Which of the following are the EIGHT MAJOR food allergens?=wheat</t>
  </si>
  <si>
    <t>Which of the following are the EIGHT MAJOR food allergens?=soy</t>
  </si>
  <si>
    <t>Which of the following are the EIGHT MAJOR food allergens?=milk</t>
  </si>
  <si>
    <t>Which of the following are the EIGHT MAJOR food allergens?=fish</t>
  </si>
  <si>
    <t>Which of the following are the EIGHT MAJOR food allergens?=peanuts</t>
  </si>
  <si>
    <t>Which of the following are the EIGHT MAJOR food allergens?=Tree nuts (almonds, walnuts, pecans, etc.)</t>
  </si>
  <si>
    <t>Which of the following are the EIGHT MAJOR food allergens?=Shellfish (shrimp, lobster, crab, etc.)</t>
  </si>
  <si>
    <t>Arachis oil indicates which food allergen is present in food production?=peanut</t>
  </si>
  <si>
    <t>The most effective response to a severe food allergic reaction is: Injecting epinephrine (Epipen)</t>
  </si>
  <si>
    <t>An individual can die from a food allergic reaction</t>
  </si>
  <si>
    <t>Ingestion of little amounts of food allergens could cause an allergic reaction</t>
  </si>
  <si>
    <t>A food allergic reaction can occur if a client touches a food item that contains allergens</t>
  </si>
  <si>
    <t>High-temperature cooking methods (baking, deep-frying, etc.) could destroy the food allergens</t>
  </si>
  <si>
    <t>If a customer has a tree nut allergy, removing walnuts from the pre-prepared salad will prevent an allergic reaction</t>
  </si>
  <si>
    <t>Modern medicine can cure food allergies</t>
  </si>
  <si>
    <t>Lactose intolerance is the same as having a milk allergy</t>
  </si>
  <si>
    <t>Had provided food allergy training to their employees in the past year.</t>
  </si>
  <si>
    <t>Training status/policies</t>
  </si>
  <si>
    <t>Aziz,I.;Karajeh,M. A.;Zilkha,J.;Tubman,E.;Fowles,C.;Sanders,D. S.</t>
  </si>
  <si>
    <t>Change in awareness of gluten-related disorders among chefs and the general public in the UK: A 10-year follow-up study</t>
  </si>
  <si>
    <t>European Journal of Gastroenterology and Hepatology</t>
  </si>
  <si>
    <t>Karajeh,M. A.;Hurlstone,D. P.;Patel,T. M.;Sanders,D. S.</t>
  </si>
  <si>
    <t>Chefs' knowledge of coeliac disease (compared to the public): A questionnaire survey from the United Kingdom</t>
  </si>
  <si>
    <t>Clinical Nutrition</t>
  </si>
  <si>
    <t>Abbot,J. M.;Byrd-Bredbenner,C.;Grasso,D.</t>
  </si>
  <si>
    <t>Know before you serve: developing a food-allergy fact sheet</t>
  </si>
  <si>
    <t>Cornell Hotel and Restaurant Administration Quarterly</t>
  </si>
  <si>
    <t>Abdelmassih,K.;Rajagopal,L.;Arendt,S. W.</t>
  </si>
  <si>
    <t>A Mixed Methods Approach to Examining Food Allergy Accommodation Efforts in Colleges and Universities</t>
  </si>
  <si>
    <t>Journal of Foodservice Management &amp; Education</t>
  </si>
  <si>
    <t>Bailey S., Albardiaz R., Frew A.J., Smith H.</t>
  </si>
  <si>
    <t>Restaurant staff's knowledge of anaphylaxis and dietary care of people with allergies</t>
  </si>
  <si>
    <t>Clinical and Experimental Allergy</t>
  </si>
  <si>
    <t>Clinical and Translational Allergy</t>
  </si>
  <si>
    <t>Banerjee,T.;Skypala,I.;Michaelis,L.</t>
  </si>
  <si>
    <t>A survey exploring the knowledge of food handlers in the hospital restaurants and small commercial restaurants regarding their ability to identify the signs and symptoms of an acute food induced anaphylaxis and their emergency response towards a suspected allergic reaction.</t>
  </si>
  <si>
    <t>Conference Proceedings</t>
  </si>
  <si>
    <t>Allergy</t>
  </si>
  <si>
    <t>S102</t>
  </si>
  <si>
    <t>Borchgrevink,C. P.;Elsworth,J. D.;Taylor,S. E.;Christensen,K. L.</t>
  </si>
  <si>
    <t>Food intolerances, food allergies, and restaurants</t>
  </si>
  <si>
    <t>Journal of Culinary Science and Technology</t>
  </si>
  <si>
    <t>Common,L. A. R.;Corrigan,C. J.;Smith,H.;Bailey,S.;Harris,S.;Holloway,J. A.</t>
  </si>
  <si>
    <t>How Safe is your Curry? Food Allergy Awareness of Restaurant Staff</t>
  </si>
  <si>
    <t>Journal of Allergy &amp; Therapy</t>
  </si>
  <si>
    <t xml:space="preserve"> </t>
  </si>
  <si>
    <t>Din,N. D.;Rashid,B.;Ramli,K. I.</t>
  </si>
  <si>
    <t>Gauging Food Allergy Knowledge among Hospitality Students</t>
  </si>
  <si>
    <t>Journal of Management Research</t>
  </si>
  <si>
    <t>Dupuis,R.;Meisel,Z.;Grande,D.;Strupp,E.;Kounaves,S.;Graves,A.;Frasso,R.;Cannuscio,C. C.</t>
  </si>
  <si>
    <t>Food allergy management among restaurant workers in a large U.S. city</t>
  </si>
  <si>
    <t>French,D.;Pobocik,R. S.</t>
  </si>
  <si>
    <t>Food Allergies in University Dining: An Assessment to Meet the Needs of Food Allergic Students</t>
  </si>
  <si>
    <t>Journal of Nutrition Education and Behavior</t>
  </si>
  <si>
    <t>4S</t>
  </si>
  <si>
    <t>S31</t>
  </si>
  <si>
    <t>Garipe,L. Y.;Bravo,B.;FernÃƒÂ¡ndez,M.;GarcÃƒÂ­a,M.;Petrosini,A.;Soriano,M. M.;Perman,G.;Giunta,D. H.</t>
  </si>
  <si>
    <t>Assessment of the gluten-free processed food offer in food locals in buenos aires city</t>
  </si>
  <si>
    <t>Acta Gastroenterologica Latinoamericana</t>
  </si>
  <si>
    <t>Lee,Y. M.;Barker,G. C.</t>
  </si>
  <si>
    <t>Comparison of Food Allergy Policies and Training between Alabama (AL) and National Restaurant Industry</t>
  </si>
  <si>
    <t>Lee,Y. M.;Sozen,E.</t>
  </si>
  <si>
    <t>Food allergy knowledge and training among restaurant employees</t>
  </si>
  <si>
    <t>International Journal of Hospitality Management</t>
  </si>
  <si>
    <t>Leitch,I. S.;Walker,M. J.;Davey,R.</t>
  </si>
  <si>
    <t>Food allergy: Gambling your life on a take-away meal</t>
  </si>
  <si>
    <t>International journal of environmental health research</t>
  </si>
  <si>
    <t>Lessa,K.;Lozano,M.;Esteve,N. J.;Frigola,A.</t>
  </si>
  <si>
    <t>Food Allergy Knowledge, Attitudes and Practices: A Pilot Study of the General Public and Food Handlers</t>
  </si>
  <si>
    <t>European Journal of Nutrition &amp; Food Safety</t>
  </si>
  <si>
    <t>Mandabach,K. H.;Ellsworth,A.;VanLeeuwen,D. M.;Blanch,G.;Waters,H. L.</t>
  </si>
  <si>
    <t>Restaurant managers' knowledge of food allergies: a comparison of differences by chain or independent affiliation, type of service and size.</t>
  </si>
  <si>
    <t>Journal of Culinary Science &amp; Technology</t>
  </si>
  <si>
    <t>2--3</t>
  </si>
  <si>
    <t>Mcintosh,J.;Flanagan,A.;Madden,N.;Mulcahy,M.;Dargan,L.;Walker,M.;Burns,D. T.</t>
  </si>
  <si>
    <t>Awareness of coeliac disease and the gluten status of 'gluten-free' food obtained on request in catering outlets in Ireland</t>
  </si>
  <si>
    <t>International Journal of Food Science and Technology</t>
  </si>
  <si>
    <t>Panzer,R. M.;Dennis,M.;Kelly,C. P.;Weir,D.;Leichtner,A.;Leffler,D. A.</t>
  </si>
  <si>
    <t>Navigating the gluten-free diet in college</t>
  </si>
  <si>
    <t>Journal of pediatric gastroenterology and nutrition</t>
  </si>
  <si>
    <t>Pratten,J.;Towers,N.</t>
  </si>
  <si>
    <t>Food allergies and the UK catering industry: A study of the training needs for the industry to serve those with food allergies</t>
  </si>
  <si>
    <t>Journal of European Industrial Training</t>
  </si>
  <si>
    <t>Radke,T. J.;Brown,L. G.;Faw,B.;Hedeen,N.;Matis,B.;Perez,P.;Viveiros,B.;Ripley,D.</t>
  </si>
  <si>
    <t>Restaurant food allergy practices - six selected sites, United States, 2014</t>
  </si>
  <si>
    <t>Morbidity and Mortality Weekly Report</t>
  </si>
  <si>
    <t>Radke,T. J.;Brown,L. G.;Hoover,E. R.;Faw,B. V.;Reimann,D.;Wong,M. R.;Nicholas,D.;Barkley,J.;Ripley,D.</t>
  </si>
  <si>
    <t>Food allergy knowledge and attitudes of restaurant managers and staff: An EHS-Net study</t>
  </si>
  <si>
    <t>Journal of food protection</t>
  </si>
  <si>
    <t>Rajagopal,L.;Strohbehn,C.</t>
  </si>
  <si>
    <t>Views of college and university dining directors on food allergen policies and practices in higher education settings</t>
  </si>
  <si>
    <t>Schultz,M.;Shin,S.;Coppell,K. J.</t>
  </si>
  <si>
    <t>Awareness of coeliac disease among chefs and cooks depends on the level and place of training</t>
  </si>
  <si>
    <t>Asia Pacific Journal of Clinical Nutrition</t>
  </si>
  <si>
    <t>Shafie,A. A.;Azman,A. W.</t>
  </si>
  <si>
    <t>Assessment of knowledge, attitude and practice of food allergies among food handlers in the state of Penang, Malaysia</t>
  </si>
  <si>
    <t>Public health</t>
  </si>
  <si>
    <t>Sogut,A.;Kavut,A. B.;Kartal,I.;Beyhun,E. N.;Cayir,A.;Mutlu,M.;Ozkan,B.</t>
  </si>
  <si>
    <t>Food allergy knowledge and attitude of restaurant personnel in Turkey</t>
  </si>
  <si>
    <t>International forum of allergy &amp; rhinology</t>
  </si>
  <si>
    <t>Wen,H.;Kwon,J.</t>
  </si>
  <si>
    <t>Restaurant servers' risk perceptions and risk communication-related behaviors when serving customers with food allergies in the U.S</t>
  </si>
  <si>
    <t>Zottarelli, Lisa; Bednar, Carolyn; O’Donnell, Julie; Wofford, Michelle; Hower, Glenn; Ryu, Dojin</t>
  </si>
  <si>
    <t>The Association between Menu Labeling of Common Allergens and Food Safety Knowledge and Attitudes: A Study of Independently-operated Restaurants</t>
  </si>
  <si>
    <t>SA</t>
  </si>
  <si>
    <t>193, P3-68</t>
  </si>
  <si>
    <t>IAFP 2012: Providence, RI, July 22-25</t>
  </si>
  <si>
    <t>Enriquez, L.P.; Furlong, T.J.; Ibrahim, J.K.; Twersky-Bumgardner, S.</t>
  </si>
  <si>
    <t>The prevalence of policies and procedures for serving customers with food allergies in restaurants in center city, Philadelphia</t>
  </si>
  <si>
    <t>Journal of the American Dietetic Association</t>
  </si>
  <si>
    <t>S8</t>
  </si>
  <si>
    <t>A73</t>
  </si>
  <si>
    <t>American Dietetic Association (ADA) 2007 Food &amp; Nutrition Conference &amp; Expo, 29 September-2 October, Philadelphia, PA</t>
  </si>
  <si>
    <t>Timmermans, F.</t>
  </si>
  <si>
    <t>How to manage food allergy in restaurants, cafeterias and fast food outlets?</t>
  </si>
  <si>
    <t>S1</t>
  </si>
  <si>
    <t>S59</t>
  </si>
  <si>
    <t>Food Allergy and Anaphylaxis Meeting 2011, 17-19 February, Venice, Italy</t>
  </si>
  <si>
    <t>Chartered Institute of Environmental Health</t>
  </si>
  <si>
    <t xml:space="preserve">Allergy Strategy for Wales: Results of the Welsh Allergy Awareness Food Sampling Programme </t>
  </si>
  <si>
    <t>Report</t>
  </si>
  <si>
    <t>http://www.cieh-cymruwales.org/uploadedFiles/Core/Policy/Research/allergy_strategy_Wales_07.pdf</t>
  </si>
  <si>
    <t>Heard of Celiac disease</t>
  </si>
  <si>
    <t>Heard of peanut allergy</t>
  </si>
  <si>
    <t>Heard of gluten sensitivity</t>
  </si>
  <si>
    <t>Chefs - 2003</t>
  </si>
  <si>
    <t>Chefs - 2013</t>
  </si>
  <si>
    <t>Availability of gluten-free products</t>
  </si>
  <si>
    <t>Multiple - 28 managers/owners, 1 chef, 5 other</t>
  </si>
  <si>
    <t>Had a formal policy for handling allergen-free orders</t>
  </si>
  <si>
    <t>Low risk - First, three content experts reviewed the ques􀆟onnaire and then the ques􀆟onnaire was administered to a subsample (n=6) of the target study popula􀆟on.</t>
  </si>
  <si>
    <t>Unclear - 22.6% response rate, not clear how the non-respondents compare to respondents</t>
  </si>
  <si>
    <t>Managers/directors (and dieticians/nutritionists)</t>
  </si>
  <si>
    <t>Food allergy accommodation policies in place at the departmental level</t>
  </si>
  <si>
    <t>Type of policy=Required development of emergency ac􀆟on plans</t>
  </si>
  <si>
    <t>Menus designated with major allergens</t>
  </si>
  <si>
    <t>Access to ingredient lists for all menu items offered</t>
  </si>
  <si>
    <t>Food allergy accommodation training provided for them and employees</t>
  </si>
  <si>
    <t>Low risk - The survey was piloted face-to-face with 10 food handlers, allowing ambiguities to be identified and questions refined</t>
  </si>
  <si>
    <t>Multiple - 48 managers, 7 owners, 15 chefs, 20 waiters</t>
  </si>
  <si>
    <t>Previous food allergy training reported</t>
  </si>
  <si>
    <t>Common food allergens are separated from other foods (does your kitchen currently have a way of separating food which can cause allergic reactions from foods which are safe for everyone?)</t>
  </si>
  <si>
    <t>Aware anaphylaxis warrants urgent medical attention</t>
  </si>
  <si>
    <t>Could name at least three common food allergens</t>
  </si>
  <si>
    <t>Customers with food allergies can safely consume a small amount of that food</t>
  </si>
  <si>
    <t>Cooking, for example frying, can stop food from causing allergies</t>
  </si>
  <si>
    <t>A food allergy reaction can cause death</t>
  </si>
  <si>
    <t>If a customer is having an allergic reaction they should be served cold water to dilute the allergen</t>
  </si>
  <si>
    <t>Removing an allergen from a finished meal, e.g. removing the nuts, may be all that is necessary to provide a safe meal for a food allergy customer</t>
  </si>
  <si>
    <t>High risk - some outcomes not reported in quantitative format</t>
  </si>
  <si>
    <t>High risk - abstract only so minimal details are provided</t>
  </si>
  <si>
    <t>Emergency response=followed a sequence of recovery position, shout for help, call emergency number and administer adrenaline</t>
  </si>
  <si>
    <t>Not reported - includes only the restaurant food handler group</t>
  </si>
  <si>
    <t>Unclear - Baseline participants were recruited by e-mail, phone, or personal reference to participate.</t>
  </si>
  <si>
    <t xml:space="preserve">Have menu, or another printed document, that identified for the customers which foods those with food allergies or food intolerances could safely purchase </t>
  </si>
  <si>
    <t>Multiple - 15 COOs of chain restaurants, 28 restaurant managers, 12 chefs, 5 unknown</t>
  </si>
  <si>
    <t>Unclear - very low response rate (5.8%)</t>
  </si>
  <si>
    <t>From the perspective of menu planning/purchasing, there is a at least one individual in your company that has the responsibility of being familiar with the ingredients of all the foods you use</t>
  </si>
  <si>
    <t>Yes vs. no (nobody in the company is responsible for ingredient knowledge)</t>
  </si>
  <si>
    <t>Company Websites contained ingredient-level data</t>
  </si>
  <si>
    <t>Employees trained specifically on how to respond to customers with food allergies or food intolerances</t>
  </si>
  <si>
    <t>Familiar with celiac disease</t>
  </si>
  <si>
    <t>Customers can order gluten-free food at their establishment if they so desire</t>
  </si>
  <si>
    <t>Had a list that describes menu items in such a way that a consumer could identify potential gluten content</t>
  </si>
  <si>
    <t>Multiple - managers (45%), waiters (25%), owners (12.5%), chefs (12.5%) and supervisors (5%)</t>
  </si>
  <si>
    <t>Had received food allergy training</t>
  </si>
  <si>
    <t>Heard of food allergy</t>
  </si>
  <si>
    <t>Able to correctly name three ‘common’ food allergens</t>
  </si>
  <si>
    <t>Believed that if a customer was having an allergic reaction it was appropriate to serve them water to ‘dilute’ the allergen</t>
  </si>
  <si>
    <t>Believed that cooking the food would prevent it from causing an allergic reaction</t>
  </si>
  <si>
    <t>Thought it was safe for customers with food allergy to eat a small amount of the allergen</t>
  </si>
  <si>
    <t>Believed that removing an allergen from a finished meal containing the allergen would render the meal safe for the allergic customer to consume</t>
  </si>
  <si>
    <t>Did not think a food allergic reaction could cause death</t>
  </si>
  <si>
    <t>Self-efficacy</t>
  </si>
  <si>
    <t>Degree of comfort in providing food for customers with food allergies</t>
  </si>
  <si>
    <t>comfortable</t>
  </si>
  <si>
    <t>somewhat comfortable</t>
  </si>
  <si>
    <t>somewhat uncomfortable</t>
  </si>
  <si>
    <t>very uncomfortable</t>
  </si>
  <si>
    <t>Comfort in guaranteeing a safe meal</t>
  </si>
  <si>
    <t>very or somewhat comfortable vs. comfortable, somewhat uncomfortable, very uncomfortable</t>
  </si>
  <si>
    <t>I believe appropriate precautions can be taken to avoid cross-contact between foods at my workplace</t>
  </si>
  <si>
    <t>I believe I can effectively handle a food allergy emergency situation at my workplace</t>
  </si>
  <si>
    <t>5 point scale (Strongly agree vs.)</t>
  </si>
  <si>
    <t>agree</t>
  </si>
  <si>
    <t>neutral</t>
  </si>
  <si>
    <t>disagree</t>
  </si>
  <si>
    <t>strongly disagree</t>
  </si>
  <si>
    <t>Percentage level of confidence to provide a safe meal</t>
  </si>
  <si>
    <t>Percentage level of confidence to manage an allergy emergency</t>
  </si>
  <si>
    <t>5 point scale (very confident vs. confident, don't know, less confident, not at all confident)</t>
  </si>
  <si>
    <t>confident</t>
  </si>
  <si>
    <t>less confident</t>
  </si>
  <si>
    <t>not at all confident</t>
  </si>
  <si>
    <t>93% were very confident/confident</t>
  </si>
  <si>
    <t>64% were very confident/confident</t>
  </si>
  <si>
    <t>Respondent’s reported comfort level serving a meal to a food-allergic customer</t>
  </si>
  <si>
    <t>5 point scale (very comfortable vs. somewhat comfortable, comfortable, somewhat uncomfortable, very uncomfortable)</t>
  </si>
  <si>
    <t>Other - university hospitality students</t>
  </si>
  <si>
    <t>Multiple - cashiers (38.6%), managers (34.8%), food preparers/chefs/cooks (28.8%), Wait staff (16.3%), owners (13%), other (8.7%)</t>
  </si>
  <si>
    <t>Mentioned vs. not mentioned (question was open-ended; options were not prompted)</t>
  </si>
  <si>
    <t>Steps taken to protect allergy customer=Communicate with patron to clarify allergy and make recommendations</t>
  </si>
  <si>
    <t>Steps taken to protect allergy customer=Record allergy/communicate with staff</t>
  </si>
  <si>
    <t>Steps taken to protect allergy customer=Check ingredients</t>
  </si>
  <si>
    <t>Confident (scores of 85 or above of 100-point scale) vs. not confident</t>
  </si>
  <si>
    <t>I am confident that I know how to provide a safe meal for this child</t>
  </si>
  <si>
    <t>I feel confident that I know what to do if this customer has an allergic reaction</t>
  </si>
  <si>
    <t>Steps participants reported taking in the event of an emergency due to food allergy: call 911 AND administration of epinephrine</t>
  </si>
  <si>
    <t>Mentioned (both practices) vs. not mentioned (question was open-ended; options were not prompted)</t>
  </si>
  <si>
    <t>High risk - purposefully selected</t>
  </si>
  <si>
    <t>High risk</t>
  </si>
  <si>
    <t>Have plans to handle food allergies</t>
  </si>
  <si>
    <t>Not reported - food service employees</t>
  </si>
  <si>
    <t>Unit provided relevant training</t>
  </si>
  <si>
    <t>Knew that protein was responsible for allergic reactions</t>
  </si>
  <si>
    <t>Premise offers at least one gluten-free dish</t>
  </si>
  <si>
    <t>Observed</t>
  </si>
  <si>
    <t>Other - premise observation</t>
  </si>
  <si>
    <t>Unclear - Of the 1,000 questionnaires mailed to restaurants in Alabama, 87 were returned to the researchers, and only 75 complete questionnaires were used for the final data analysis.</t>
  </si>
  <si>
    <t>Strategies to Accommodate Clients with Food Allergies=modifying recipes for customers with food allergies upon request</t>
  </si>
  <si>
    <t>Strategies to Accommodate Clients with Food Allergies=stating the food allergens on the menus</t>
  </si>
  <si>
    <t>Strategies to Accommodate Clients with Food Allergies=posting food allergens information on the restaurant’s website</t>
  </si>
  <si>
    <t>Strategies to Accommodate Clients with Food Allergies=provide separate menu</t>
  </si>
  <si>
    <t>Have you ever received any food allergy training</t>
  </si>
  <si>
    <t>Multiple - National sample = managers (n = 62), chefs/cooks (n = 31), owners (n = 14), supervisors (n=3)</t>
  </si>
  <si>
    <t>Multiple - Alabama = managers (n = 34), chefs/cooks (n = 12), owners (n = 26), supervisors (n=3)</t>
  </si>
  <si>
    <t>Multiple - Service-Waitress-Bartender=100; host-cashier=46; cook-chef=46; crew member=14; Barista=6; dishwasher=3; other=14</t>
  </si>
  <si>
    <t>Strategies in-place when serving customers with food/allergies=modifying recipes for customers with food allergies upon request</t>
  </si>
  <si>
    <t>Strategies in-place when serving customers with food/allergies=stating the food allergens on the menus</t>
  </si>
  <si>
    <t>Strategies in-place when serving customers with food/allergies=posting food allergens information on the restaurant’s website</t>
  </si>
  <si>
    <t>Strategies in-place when serving customers with food/allergies=provide separate menu</t>
  </si>
  <si>
    <t>For the peanut-free request, was any note taken on order pad or any query raised about the request?</t>
  </si>
  <si>
    <t>Was an unprompted allergy warning given in the outlet?</t>
  </si>
  <si>
    <t>Unclear - unstructured observation notes taken, not a formal questionnaire</t>
  </si>
  <si>
    <t>Multiple - cooks, kitchen assistants, and service assistance</t>
  </si>
  <si>
    <t>Do you have any knowledge about food allergen?</t>
  </si>
  <si>
    <t>Can high temperature (deep-frying, cooking) destroy food allergens? (No vs. yes)</t>
  </si>
  <si>
    <t>Individuals with food allergies can safely consume the foods that cause the allergies if only a small amount is consumed? (no vs. yes)</t>
  </si>
  <si>
    <t>If someone has an allergic reaction, is it correct to offer water in order to ‘‘dilute” the allergen and stop the reaction? (no vs. yes)</t>
  </si>
  <si>
    <t>If you remove allergenic food items (such as walnuts) from a finished dish, will it prevent the client from having an allergic reaction? (no vs. yes)</t>
  </si>
  <si>
    <t>Unclear - outcome includes only Round 1 participants, who may not be representative of larger population</t>
  </si>
  <si>
    <t>Unclear - the questionnaire in this round was not pre-tested</t>
  </si>
  <si>
    <t>Have policy to meet the needs of those with food allergies</t>
  </si>
  <si>
    <t>Managers</t>
  </si>
  <si>
    <t>Make the ingredients of menu items available to servers</t>
  </si>
  <si>
    <t>Include food allergies in their employee training</t>
  </si>
  <si>
    <t xml:space="preserve">Multiple - Of the 251 responses which described the category of staff member with whom the sampling officer interacted, 32% interacted with servers only, 25% interacted with the manager and ⁄ or chef while 43% interacted with both the server and the manager and ⁄ or chef </t>
  </si>
  <si>
    <t>High risk - only 6 participants surveyed</t>
  </si>
  <si>
    <t>Managers - head chefs, dietitians, and/or dining service managers</t>
  </si>
  <si>
    <t>General labeling at time of service (eg, label 8 major allergens + wheat)</t>
  </si>
  <si>
    <t>Packaged a la carte GF options</t>
  </si>
  <si>
    <t>Good vs. reasonable, limited knowledge (no definitions provided for these criteria)</t>
  </si>
  <si>
    <t>What is a coeliac/gluten free diet?</t>
  </si>
  <si>
    <t>Awareness of seriousness of allergies</t>
  </si>
  <si>
    <t>Managers - proprietor</t>
  </si>
  <si>
    <t>Servers/waiters</t>
  </si>
  <si>
    <t>Received training on food allergies while working at their respective restaurants</t>
  </si>
  <si>
    <t xml:space="preserve">Does this restaurant have lists or recipes with the ingredients for the food it makes? </t>
  </si>
  <si>
    <t>Yes for all or most menu items</t>
  </si>
  <si>
    <t>Managers - CU dining directors</t>
  </si>
  <si>
    <t>Policies were in place at the foodservice department level</t>
  </si>
  <si>
    <t>Food workers - chefs, cooks, and first year chef trainees (students)</t>
  </si>
  <si>
    <t>Food workers - chefs, cooks</t>
  </si>
  <si>
    <t>Availability of GF foods indicated on the written menu</t>
  </si>
  <si>
    <t>Heard of coeliac disease?</t>
  </si>
  <si>
    <t>Unclear - convenience sample</t>
  </si>
  <si>
    <t>Multiple - 28 managers, 23 food workers, 31 servers, 25 other</t>
  </si>
  <si>
    <t>Food allergens are usually proteins</t>
  </si>
  <si>
    <t>Lactose intolerance and milk allergy are one and the same condition</t>
  </si>
  <si>
    <t>Persons of a known food allergy who begin experiencing symptoms while or often eating a food should initiate treatment immediately, and go to a nearby emergency room if symptoms progress.</t>
  </si>
  <si>
    <t xml:space="preserve">Individuals with food allergies can safely consume the foods that cause the allergies if only a small amount is consumed  </t>
  </si>
  <si>
    <t>Fried foods can be dangerous for those with food allergies because: cross-contact with other food proteins can occur*</t>
  </si>
  <si>
    <t>Please choose the eight most common allergens=Peanuts</t>
  </si>
  <si>
    <t>Please choose the eight most common allergens=Milk</t>
  </si>
  <si>
    <t>Please choose the eight most common allergens=Soy</t>
  </si>
  <si>
    <t>Please choose the eight most common allergens=Fish</t>
  </si>
  <si>
    <t>Please choose the eight most common allergens=Shellfish</t>
  </si>
  <si>
    <t>Please choose the eight most common allergens=Egg</t>
  </si>
  <si>
    <t>Please choose the eight most common allergens=Wheat</t>
  </si>
  <si>
    <t>Please choose the eight most common allergens=Tree nuts</t>
  </si>
  <si>
    <t>Do you have any plan to produce only non-allergenic food?</t>
  </si>
  <si>
    <t>Is there any training for staff about food allergies?</t>
  </si>
  <si>
    <t xml:space="preserve">In your menu, did you highlight the allergenic ingredients or insert a cautionary note to warn the presence of specific allergens on the menu, such as ‘contains peanuts’? </t>
  </si>
  <si>
    <t>Are you used to checking the label of food products to find out whether they contain any ingredient that may cause a food allergy?</t>
  </si>
  <si>
    <t>Will you talk to the guest in person to address food allergy needs and to suggest non-risky choices?</t>
  </si>
  <si>
    <t>Did you verify with the chef whether or not a food can be made without the allergenic ingredients?</t>
  </si>
  <si>
    <t>Restaurant has plan for answering questions from food allergic customers</t>
  </si>
  <si>
    <t xml:space="preserve">Documentation in the front of the house (areas accessible to customers) or dining area about allergens </t>
  </si>
  <si>
    <t>Of the following foods, which do you think are major allergens? Peanuts</t>
  </si>
  <si>
    <t>Of the following foods, which do you think are major allergens? Milk or dairy</t>
  </si>
  <si>
    <t>Of the following foods, which do you think are major allergens? Shellfish</t>
  </si>
  <si>
    <t>Of the following foods, which do you think are major allergens? Eggs</t>
  </si>
  <si>
    <t>Which of the following are symptoms of an allergic reaction to food? Trouble breathing (correct)</t>
  </si>
  <si>
    <t>Which of the following are symptoms of an allergic reaction to food? Hives or rash (correct)</t>
  </si>
  <si>
    <t>Which of the following are symptoms of an allergic reaction to food? Swelling of tongue and throat (correct)</t>
  </si>
  <si>
    <t>Which of the following should you do if a customer is having a bad food allergic reaction, such as trouble breathing? Call 911 (correct)</t>
  </si>
  <si>
    <t>Which of the following should you do if a customer is having a bad food allergic reaction, such as trouble breathing? Suggest that the customer drink water</t>
  </si>
  <si>
    <t>Someone with a food allergy can safely eat small amounts of the food they are allergic to. (No)</t>
  </si>
  <si>
    <t>Someone with a food allergy can die from eating the food they are allergic to. (Yes)</t>
  </si>
  <si>
    <t>Taking a food allergen out of a meal after it has been made is one way to make it safe for a food allergic customer. (No)</t>
  </si>
  <si>
    <t>This restaurant can easily meet food allergic customers’ special requests</t>
  </si>
  <si>
    <t>strongly agree vs. agree, unsure, disagree, strongly disagree</t>
  </si>
  <si>
    <t>Multiple - 39 managers, 20 owners, 60 chefs, 232 waiters</t>
  </si>
  <si>
    <t xml:space="preserve">Received training on food allergies </t>
  </si>
  <si>
    <t>correct/incorrect response</t>
  </si>
  <si>
    <t>Able to recognize at least 3 allergens</t>
  </si>
  <si>
    <t>Comfort level in serving meals to customers with food allergy</t>
  </si>
  <si>
    <t>uncomfortable</t>
  </si>
  <si>
    <t>Identification of the Big 8 food allergens: Peanuts</t>
  </si>
  <si>
    <t>Identification of the Big 8 food allergens: Shellfish</t>
  </si>
  <si>
    <t>Identification of the Big 8 food allergens: Milk</t>
  </si>
  <si>
    <t>Identification of the Big 8 food allergens: Tree nuts</t>
  </si>
  <si>
    <t>Identification of the Big 8 food allergens: Wheat</t>
  </si>
  <si>
    <t>Identification of the Big 8 food allergens: Eggs</t>
  </si>
  <si>
    <t>Identification of the Big 8 food allergens: Soy</t>
  </si>
  <si>
    <t>Identification of the Big 8 food allergens: Fish</t>
  </si>
  <si>
    <t>Identification of food allergy reaction symptoms=swelling of throat</t>
  </si>
  <si>
    <t>Identification of food allergy reaction symptoms=hives/rashes</t>
  </si>
  <si>
    <t>Identification of food allergy reaction symptoms=facial swelling</t>
  </si>
  <si>
    <t>Identification of food allergy reaction symptoms=shortness of breath</t>
  </si>
  <si>
    <t>Identification of food allergy reaction symptoms=tingling sensation in or around mouth</t>
  </si>
  <si>
    <t>Identification of food allergy reaction symptoms=anaphylaxis</t>
  </si>
  <si>
    <t>Identification of food allergy reaction symptoms=vomiting</t>
  </si>
  <si>
    <t>Food allergy reactions can only be triggered when customers consume (eat) allergenic foods</t>
  </si>
  <si>
    <t>A person can die from a food allergy reaction</t>
  </si>
  <si>
    <t>If a person has a milk allergy, removing cheese from an already-assembled deli sandwich will prevent a food allergy eaction</t>
  </si>
  <si>
    <t xml:space="preserve">Cooking food to the right internal temperature can kill food allergens </t>
  </si>
  <si>
    <t>Received some type of food allergy training</t>
  </si>
  <si>
    <t>Restaurant menus included a statement or disclaimer about food allergies</t>
  </si>
  <si>
    <t>Managers - owners/operators</t>
  </si>
  <si>
    <t>Unclear - low response rate of 220/3000</t>
  </si>
  <si>
    <t>Restaurant labeled food allergens on menus</t>
  </si>
  <si>
    <t>Unclear - abstract only, limited details provided</t>
  </si>
  <si>
    <t>Unclear - convenience sample, 9.1% response rate</t>
  </si>
  <si>
    <t>Report their restaurant has a policy or procedure related to serving a customer with food allergies (any)</t>
  </si>
  <si>
    <t>Has had a food allergen training</t>
  </si>
  <si>
    <t>Believed that heat would destroy the allergen</t>
  </si>
  <si>
    <t>% correct answer</t>
  </si>
  <si>
    <t>Believed that a small amount of allergen would do no harm</t>
  </si>
  <si>
    <t xml:space="preserve">Removing the allergen from a prepared meal (like nut topping) would make the meal safe to eat </t>
  </si>
  <si>
    <t>Indicated that they had a procedure to provide allergy safe meals</t>
  </si>
  <si>
    <t>Had an action plan in case of an allergic emergency other than to call 112</t>
  </si>
  <si>
    <t>Were there any allergy warnings=visible</t>
  </si>
  <si>
    <t>Were there any allergy warnings=verbal</t>
  </si>
  <si>
    <t>For the nut free meal request was there any special note taken on the order?</t>
  </si>
  <si>
    <t>Unclear - questionnaire was comprised of 11 questions but only reported 10 in table</t>
  </si>
  <si>
    <t>Interest in future training programs</t>
  </si>
  <si>
    <t>Interest in receiving future training</t>
  </si>
  <si>
    <t>I am willing to attend food allergy training courses/workshops to learn more about food allergies</t>
  </si>
  <si>
    <t>I want to learn more about how to provide safe foods for a customer like this with food allergies.</t>
  </si>
  <si>
    <t>Strong endorsement of attitude (scores of 85 or above of 100-point scale) vs. not strong</t>
  </si>
  <si>
    <t>Interest in future food allergy training</t>
  </si>
  <si>
    <t>Wanted to obtain further training about food allergy</t>
  </si>
  <si>
    <t>Desires further food allergy training</t>
  </si>
  <si>
    <t>Multiple - 277 managers, 211 workers, 156 servers (collapsed)</t>
  </si>
  <si>
    <t>Unclear - only underwent face validity</t>
  </si>
  <si>
    <t>Unclear - restaurants randomly selected, but food workers  and servers were chosen by managers (may not be representative)</t>
  </si>
  <si>
    <t>Report their restaurant has a policy or procedure component related to serving a customer with food allergies=answering a food allergy question and using safe serving methods to prevent cross contamination</t>
  </si>
  <si>
    <t>Report their restaurant has a policy or procedure component related to serving a customer with food allergies=responding to a food allergy reaction</t>
  </si>
  <si>
    <t>Unclear - methods of measuring/classifying the outcome are unclear</t>
  </si>
  <si>
    <t>Staff knowledgeable about coeliac condition</t>
  </si>
  <si>
    <t>Self-reported?</t>
  </si>
  <si>
    <t>The premises had notices ⁄ signs relating to the coeliac condition or gluten-free meals</t>
  </si>
  <si>
    <t>Observed behaviour/practice</t>
  </si>
  <si>
    <t>Outcome_category2</t>
  </si>
  <si>
    <t>authoryear</t>
  </si>
  <si>
    <t>Aziz et al. (2014)</t>
  </si>
  <si>
    <t>Borchgrevink et al. (2009)</t>
  </si>
  <si>
    <t>Garipe et al. (2015)</t>
  </si>
  <si>
    <t>Panzer et al. (2012)</t>
  </si>
  <si>
    <t>Mcintosh et al. (2011)</t>
  </si>
  <si>
    <t>Schultz et al. (2017)</t>
  </si>
  <si>
    <t>Karajeh et al. (2005)</t>
  </si>
  <si>
    <t>Simpson et al. (2011)</t>
  </si>
  <si>
    <t>Pratten and Towers (2004)</t>
  </si>
  <si>
    <t>Abbot et al. (2007)</t>
  </si>
  <si>
    <t>Abdelmassih et al. (2016)</t>
  </si>
  <si>
    <t>Ahuja and Sicherer (2007)</t>
  </si>
  <si>
    <t>Ajala et al. (2010)</t>
  </si>
  <si>
    <t>Bailey et al. (2011)</t>
  </si>
  <si>
    <t>Banerjee et al. (2016)</t>
  </si>
  <si>
    <t>Choi and Rajagopal (2013)</t>
  </si>
  <si>
    <t>Common et al. (2013)</t>
  </si>
  <si>
    <t>Din et al. (2015)</t>
  </si>
  <si>
    <t>Dupuis et al. (2016)</t>
  </si>
  <si>
    <t>French and Pobocik (2013)</t>
  </si>
  <si>
    <t>Lee and Barker (2017)</t>
  </si>
  <si>
    <t>Lee and Sozen (2016)</t>
  </si>
  <si>
    <t>Lee and Xu (2015)</t>
  </si>
  <si>
    <t>Leitch et al. (2005)</t>
  </si>
  <si>
    <t>Lessa et al. (2016)</t>
  </si>
  <si>
    <t>Mandabach et al. (2005)</t>
  </si>
  <si>
    <t>Radke et al. (2016)</t>
  </si>
  <si>
    <t>Radke et al. (2017)</t>
  </si>
  <si>
    <t>Rajagopal and Strohbehn (2011)</t>
  </si>
  <si>
    <t>Shafie et al. (2015)</t>
  </si>
  <si>
    <t>Sogut et al. (2015)</t>
  </si>
  <si>
    <t>Wen and Kwon (2017)</t>
  </si>
  <si>
    <t>Wham et al. (2014)</t>
  </si>
  <si>
    <t>Timmermans (2011)</t>
  </si>
  <si>
    <t>Enriquez et al. (2007)</t>
  </si>
  <si>
    <t>CIEH (2007)</t>
  </si>
  <si>
    <t>Zottarelli et al. (2012)</t>
  </si>
  <si>
    <t>Serving a safe meal to a food-allergic customer</t>
  </si>
  <si>
    <t>Managing or responding to a food allergy emergency</t>
  </si>
  <si>
    <t>Percent</t>
  </si>
  <si>
    <t>Percent2</t>
  </si>
  <si>
    <t>Percent3</t>
  </si>
  <si>
    <t>Percent4</t>
  </si>
  <si>
    <t>Self-reported awareness of Celiac disease</t>
  </si>
  <si>
    <t>Self-reported awareness of gluten sensitivity</t>
  </si>
  <si>
    <t>Availability of gluten-free foods is indicated on the menu or other documentation</t>
  </si>
  <si>
    <t>Gluten-free foods are available</t>
  </si>
  <si>
    <t>Good/reasonable vs. limited knowledge (no definitions provided for these criteria)</t>
  </si>
  <si>
    <t>Food allergy training is provided to staff</t>
  </si>
  <si>
    <t>Respondent has previously received food allergy training</t>
  </si>
  <si>
    <t>Respondent is interested in future food allergy training</t>
  </si>
  <si>
    <t>Strongly agree/agree vs. neutral, disagree, strongly disagree)</t>
  </si>
  <si>
    <t>Aziz et al. (2014) - 2003 sample</t>
  </si>
  <si>
    <t>Aziz et al. (2014) - 2013 sample</t>
  </si>
  <si>
    <t>Policies or plans are in place to produce allergen-free meals</t>
  </si>
  <si>
    <t>Allergens are identified on the menu or other documentation</t>
  </si>
  <si>
    <t>Policies or plans are in place to respond to food allergy emergencies</t>
  </si>
  <si>
    <t>Allergen information is posted on website</t>
  </si>
  <si>
    <t>Separate allergen-free menu is provided</t>
  </si>
  <si>
    <t>Food ingredient lists are available and/or checked for food allergens</t>
  </si>
  <si>
    <t>Allergen-free orders are recorded and verified with kitchen staff</t>
  </si>
  <si>
    <t>Staff risk communication about food allergies with food allergic customers</t>
  </si>
  <si>
    <t>Self-reported awareness</t>
  </si>
  <si>
    <t>Customers with food allergies cannot safely consume a small amount of that food</t>
  </si>
  <si>
    <t>High heat cannot destroy food allergens</t>
  </si>
  <si>
    <t>If someone is experiencing an allergic reaction, serving them water is not an appropriate response strategy</t>
  </si>
  <si>
    <t>Removing an allergen from a prepared meal would not make the food safe to eat</t>
  </si>
  <si>
    <t>If an individual is having an allergic reaction, urgent medical attention is required</t>
  </si>
  <si>
    <t>Could name at least three major food allergens</t>
  </si>
  <si>
    <t>Food allergies are caused by the body’s negative reaction to proteins</t>
  </si>
  <si>
    <t>The most effective treatment for a severe food allergic reaction is injecting epinephrine</t>
  </si>
  <si>
    <t>Arachis oil indicates that peanut is present in food production</t>
  </si>
  <si>
    <t>A food allergic reaction can occur if an individual touches a food item that contains allergens</t>
  </si>
  <si>
    <t>Modern medicine cannot cure food allergies</t>
  </si>
  <si>
    <t>Lactose intolerance is not the same as having a milk allergy</t>
  </si>
  <si>
    <t>Fried foods can be dangerous for those with food allergies because cross-contact with other food proteins can occur</t>
  </si>
  <si>
    <t>Outcome_category3</t>
  </si>
  <si>
    <t>Major allergens</t>
  </si>
  <si>
    <t>Symptoms</t>
  </si>
  <si>
    <t>Anaphylaxis</t>
  </si>
  <si>
    <t>Facial swelling</t>
  </si>
  <si>
    <t>Hives or rash</t>
  </si>
  <si>
    <t xml:space="preserve">Swelling of the tongue or throat </t>
  </si>
  <si>
    <t>Tingling in or around the mouth</t>
  </si>
  <si>
    <t>Trouble breathing</t>
  </si>
  <si>
    <t>Eggs</t>
  </si>
  <si>
    <t>Fish</t>
  </si>
  <si>
    <t>Milk/dairy</t>
  </si>
  <si>
    <t>Peanuts</t>
  </si>
  <si>
    <t>Shellfish/seafood</t>
  </si>
  <si>
    <t>Soy</t>
  </si>
  <si>
    <t>Tree nuts</t>
  </si>
  <si>
    <t>Wheat</t>
  </si>
  <si>
    <t>Vomiting</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</si>
</sst>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 x14ac:knownFonts="1">
    <font>
      <sz val="11"/>
      <color theme="1"/>
      <name val="Calibri"/>
      <family val="2"/>
      <scheme val="minor"/>
    </font>
    <font>
      <b/>
      <sz val="11"/>
      <color theme="1"/>
      <name val="Calibri"/>
      <family val="2"/>
      <scheme val="minor"/>
    </font>
    <font>
      <sz val="11"/>
      <color theme="1"/>
      <name val="Calibri"/>
      <family val="2"/>
      <scheme val="minor"/>
    </font>
  </fonts>
  <fills count="5">
    <fill>
      <patternFill patternType="none"/>
    </fill>
    <fill>
      <patternFill patternType="gray125"/>
    </fill>
    <fill>
      <patternFill patternType="solid">
        <fgColor theme="2"/>
        <bgColor indexed="64"/>
      </patternFill>
    </fill>
    <fill>
      <patternFill patternType="solid">
        <fgColor theme="7" tint="0.79998168889431442"/>
        <bgColor indexed="64"/>
      </patternFill>
    </fill>
    <fill>
      <patternFill patternType="solid">
        <fgColor theme="6" tint="0.79998168889431442"/>
        <bgColor indexed="64"/>
      </patternFill>
    </fill>
  </fills>
  <borders count="2">
    <border>
      <left/>
      <right/>
      <top/>
      <bottom/>
      <diagonal/>
    </border>
    <border>
      <left/>
      <right/>
      <top/>
      <bottom style="thin">
        <color indexed="64"/>
      </bottom>
      <diagonal/>
    </border>
  </borders>
  <cellStyleXfs count="2">
    <xf numFmtId="0" fontId="0" fillId="0" borderId="0"/>
    <xf numFmtId="9" fontId="2" fillId="0" borderId="0" applyFont="0" applyFill="0" applyBorder="0" applyAlignment="0" applyProtection="0"/>
  </cellStyleXfs>
  <cellXfs count="32">
    <xf numFmtId="0" fontId="0" fillId="0" borderId="0" xfId="0"/>
    <xf numFmtId="0" fontId="1" fillId="2" borderId="1" xfId="0" applyFont="1" applyFill="1" applyBorder="1"/>
    <xf numFmtId="0" fontId="1" fillId="3" borderId="0" xfId="0" applyFont="1" applyFill="1"/>
    <xf numFmtId="1" fontId="0" fillId="0" borderId="0" xfId="0" applyNumberFormat="1"/>
    <xf numFmtId="0" fontId="1" fillId="0" borderId="1" xfId="0" applyFont="1" applyBorder="1"/>
    <xf numFmtId="0" fontId="1" fillId="0" borderId="1" xfId="0" applyFont="1" applyBorder="1" applyAlignment="1">
      <alignment horizontal="left"/>
    </xf>
    <xf numFmtId="0" fontId="0" fillId="0" borderId="0" xfId="0" applyFill="1"/>
    <xf numFmtId="0" fontId="0" fillId="0" borderId="0" xfId="0" applyFill="1" applyAlignment="1">
      <alignment horizontal="left"/>
    </xf>
    <xf numFmtId="0" fontId="0" fillId="0" borderId="0" xfId="0" applyAlignment="1">
      <alignment horizontal="left"/>
    </xf>
    <xf numFmtId="0" fontId="0" fillId="0" borderId="0" xfId="0" applyAlignment="1">
      <alignment vertical="center"/>
    </xf>
    <xf numFmtId="0" fontId="1" fillId="2" borderId="0" xfId="0" applyFont="1" applyFill="1" applyAlignment="1">
      <alignment vertical="center"/>
    </xf>
    <xf numFmtId="0" fontId="0" fillId="0" borderId="0" xfId="0" applyAlignment="1"/>
    <xf numFmtId="0" fontId="0" fillId="0" borderId="0" xfId="0" applyAlignment="1">
      <alignment horizontal="right"/>
    </xf>
    <xf numFmtId="1" fontId="0" fillId="0" borderId="0" xfId="0" applyNumberFormat="1" applyAlignment="1">
      <alignment horizontal="right"/>
    </xf>
    <xf numFmtId="1" fontId="0" fillId="0" borderId="0" xfId="0" applyNumberFormat="1" applyAlignment="1"/>
    <xf numFmtId="164" fontId="0" fillId="0" borderId="0" xfId="1" applyNumberFormat="1" applyFont="1"/>
    <xf numFmtId="0" fontId="1" fillId="0" borderId="0" xfId="0" applyFont="1" applyFill="1"/>
    <xf numFmtId="0" fontId="1" fillId="0" borderId="0" xfId="0" applyFont="1" applyBorder="1"/>
    <xf numFmtId="0" fontId="0" fillId="0" borderId="0" xfId="0" applyFill="1" applyAlignment="1"/>
    <xf numFmtId="9" fontId="0" fillId="0" borderId="0" xfId="1" applyFont="1"/>
    <xf numFmtId="0" fontId="0" fillId="4" borderId="0" xfId="0" applyFill="1"/>
    <xf numFmtId="0" fontId="0" fillId="4" borderId="0" xfId="0" applyFill="1" applyAlignment="1">
      <alignment horizontal="left"/>
    </xf>
    <xf numFmtId="0" fontId="0" fillId="4" borderId="0" xfId="0" applyFill="1" applyAlignment="1"/>
    <xf numFmtId="164" fontId="0" fillId="4" borderId="0" xfId="1" applyNumberFormat="1" applyFont="1" applyFill="1"/>
    <xf numFmtId="0" fontId="0" fillId="4" borderId="0" xfId="0" applyFill="1" applyAlignment="1">
      <alignment vertical="center"/>
    </xf>
    <xf numFmtId="1" fontId="0" fillId="4" borderId="0" xfId="0" applyNumberFormat="1" applyFill="1"/>
    <xf numFmtId="9" fontId="0" fillId="4" borderId="0" xfId="1" applyFont="1" applyFill="1"/>
    <xf numFmtId="1" fontId="0" fillId="0" borderId="0" xfId="0" applyNumberFormat="1" applyFill="1"/>
    <xf numFmtId="9" fontId="0" fillId="0" borderId="0" xfId="1" applyFont="1" applyFill="1"/>
    <xf numFmtId="9" fontId="0" fillId="0" borderId="0" xfId="1" applyNumberFormat="1" applyFont="1"/>
    <xf numFmtId="9" fontId="0" fillId="4" borderId="0" xfId="1" applyNumberFormat="1" applyFont="1" applyFill="1"/>
    <xf numFmtId="0" fontId="0" fillId="0" borderId="0" xfId="0" applyFill="1" applyAlignment="1">
      <alignment vertical="center"/>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90"/>
  <sheetViews>
    <sheetView tabSelected="1" zoomScale="85" zoomScaleNormal="85" workbookViewId="0">
      <pane xSplit="2" ySplit="1" topLeftCell="C2" activePane="bottomRight" state="frozen"/>
      <selection pane="topRight" activeCell="C1" sqref="C1"/>
      <selection pane="bottomLeft" activeCell="A2" sqref="A2"/>
      <selection pane="bottomRight" activeCell="Y6" sqref="Y6"/>
    </sheetView>
  </sheetViews>
  <sheetFormatPr defaultRowHeight="15" x14ac:dyDescent="0.25"/>
  <cols>
    <col min="1" max="1" width="6.42578125" customWidth="1"/>
    <col min="2" max="2" width="15.5703125" customWidth="1"/>
    <col min="6" max="8" width="9.140625" style="8"/>
    <col min="9" max="9" width="10" style="8" customWidth="1"/>
    <col min="10" max="10" width="9.140625" style="8"/>
    <col min="11" max="11" width="4.5703125" customWidth="1"/>
    <col min="12" max="13" width="12.28515625" customWidth="1"/>
    <col min="14" max="14" width="12.7109375" customWidth="1"/>
    <col min="15" max="15" width="13.5703125" customWidth="1"/>
    <col min="16" max="16" width="13.140625" customWidth="1"/>
    <col min="17" max="17" width="9.85546875" customWidth="1"/>
    <col min="18" max="19" width="11.42578125" customWidth="1"/>
    <col min="20" max="20" width="11.85546875" customWidth="1"/>
    <col min="21" max="21" width="33" customWidth="1"/>
    <col min="22" max="22" width="16.28515625" customWidth="1"/>
    <col min="23" max="23" width="70.7109375" customWidth="1"/>
    <col min="24" max="24" width="11.7109375" customWidth="1"/>
    <col min="25" max="25" width="12.140625" customWidth="1"/>
    <col min="29" max="29" width="10.28515625" customWidth="1"/>
  </cols>
  <sheetData>
    <row r="1" spans="1:29" s="1" customFormat="1" x14ac:dyDescent="0.25">
      <c r="A1" s="4" t="s">
        <v>0</v>
      </c>
      <c r="B1" s="4" t="s">
        <v>2</v>
      </c>
      <c r="C1" s="4" t="s">
        <v>3</v>
      </c>
      <c r="D1" s="4" t="s">
        <v>4</v>
      </c>
      <c r="E1" s="4" t="s">
        <v>5</v>
      </c>
      <c r="F1" s="5" t="s">
        <v>6</v>
      </c>
      <c r="G1" s="5" t="s">
        <v>7</v>
      </c>
      <c r="H1" s="5" t="s">
        <v>8</v>
      </c>
      <c r="I1" s="5" t="s">
        <v>9</v>
      </c>
      <c r="J1" s="5" t="s">
        <v>10</v>
      </c>
      <c r="K1" s="4" t="s">
        <v>11</v>
      </c>
      <c r="L1" s="17" t="s">
        <v>504</v>
      </c>
      <c r="M1" s="2" t="s">
        <v>1</v>
      </c>
      <c r="N1" s="2" t="s">
        <v>30</v>
      </c>
      <c r="O1" s="2" t="s">
        <v>31</v>
      </c>
      <c r="P1" s="2" t="s">
        <v>32</v>
      </c>
      <c r="Q1" s="2" t="s">
        <v>33</v>
      </c>
      <c r="R1" s="2" t="s">
        <v>34</v>
      </c>
      <c r="S1" s="10" t="s">
        <v>47</v>
      </c>
      <c r="T1" s="10" t="s">
        <v>35</v>
      </c>
      <c r="U1" s="10" t="s">
        <v>503</v>
      </c>
      <c r="V1" s="10" t="s">
        <v>581</v>
      </c>
      <c r="W1" s="1" t="s">
        <v>36</v>
      </c>
      <c r="X1" s="1" t="s">
        <v>37</v>
      </c>
      <c r="Y1" s="1" t="s">
        <v>38</v>
      </c>
      <c r="Z1" s="1" t="s">
        <v>39</v>
      </c>
      <c r="AA1" s="1" t="s">
        <v>40</v>
      </c>
      <c r="AB1" s="1" t="s">
        <v>544</v>
      </c>
      <c r="AC1" s="1" t="s">
        <v>41</v>
      </c>
    </row>
    <row r="2" spans="1:29" x14ac:dyDescent="0.25">
      <c r="A2" s="6">
        <v>597</v>
      </c>
      <c r="B2" s="6" t="s">
        <v>122</v>
      </c>
      <c r="C2" s="6" t="s">
        <v>123</v>
      </c>
      <c r="D2" s="6" t="s">
        <v>26</v>
      </c>
      <c r="E2" s="6" t="s">
        <v>124</v>
      </c>
      <c r="F2" s="7">
        <v>2015</v>
      </c>
      <c r="G2" s="7">
        <v>18</v>
      </c>
      <c r="H2" s="7">
        <v>5</v>
      </c>
      <c r="I2" s="7">
        <v>454</v>
      </c>
      <c r="J2" s="7">
        <v>469</v>
      </c>
      <c r="K2" t="s">
        <v>15</v>
      </c>
      <c r="L2" s="8" t="s">
        <v>527</v>
      </c>
      <c r="M2" t="s">
        <v>126</v>
      </c>
      <c r="N2" t="s">
        <v>125</v>
      </c>
      <c r="O2" t="s">
        <v>50</v>
      </c>
      <c r="P2" t="s">
        <v>50</v>
      </c>
      <c r="Q2" t="s">
        <v>50</v>
      </c>
      <c r="R2" t="s">
        <v>51</v>
      </c>
      <c r="S2" t="s">
        <v>52</v>
      </c>
      <c r="T2" t="s">
        <v>53</v>
      </c>
      <c r="U2" s="11" t="s">
        <v>577</v>
      </c>
      <c r="V2" s="11"/>
      <c r="W2" s="11" t="s">
        <v>150</v>
      </c>
      <c r="X2" t="s">
        <v>90</v>
      </c>
      <c r="Y2" t="s">
        <v>127</v>
      </c>
      <c r="Z2">
        <v>78</v>
      </c>
      <c r="AA2">
        <v>110</v>
      </c>
      <c r="AB2" s="29">
        <f t="shared" ref="AB2:AB65" si="0">Z2/AA2</f>
        <v>0.70909090909090911</v>
      </c>
      <c r="AC2" t="s">
        <v>118</v>
      </c>
    </row>
    <row r="3" spans="1:29" x14ac:dyDescent="0.25">
      <c r="A3" s="6">
        <v>596</v>
      </c>
      <c r="B3" s="6" t="s">
        <v>200</v>
      </c>
      <c r="C3" s="6" t="s">
        <v>201</v>
      </c>
      <c r="D3" s="6" t="s">
        <v>26</v>
      </c>
      <c r="E3" s="6" t="s">
        <v>202</v>
      </c>
      <c r="F3" s="7">
        <v>2016</v>
      </c>
      <c r="G3" s="7">
        <v>57</v>
      </c>
      <c r="H3" s="7" t="s">
        <v>184</v>
      </c>
      <c r="I3" s="7">
        <v>52</v>
      </c>
      <c r="J3" s="7">
        <v>59</v>
      </c>
      <c r="K3" s="6" t="s">
        <v>15</v>
      </c>
      <c r="L3" s="8" t="s">
        <v>526</v>
      </c>
      <c r="M3" s="8" t="s">
        <v>126</v>
      </c>
      <c r="N3" s="7" t="s">
        <v>50</v>
      </c>
      <c r="O3" s="7" t="s">
        <v>50</v>
      </c>
      <c r="P3" s="7" t="s">
        <v>50</v>
      </c>
      <c r="Q3" s="7" t="s">
        <v>50</v>
      </c>
      <c r="R3" s="8" t="s">
        <v>51</v>
      </c>
      <c r="S3" t="s">
        <v>52</v>
      </c>
      <c r="T3" t="s">
        <v>53</v>
      </c>
      <c r="U3" s="11" t="s">
        <v>577</v>
      </c>
      <c r="V3" s="11"/>
      <c r="W3" s="11" t="s">
        <v>150</v>
      </c>
      <c r="X3" t="s">
        <v>90</v>
      </c>
      <c r="Y3" t="s">
        <v>365</v>
      </c>
      <c r="Z3">
        <v>165</v>
      </c>
      <c r="AA3">
        <v>229</v>
      </c>
      <c r="AB3" s="19">
        <f t="shared" si="0"/>
        <v>0.72052401746724892</v>
      </c>
      <c r="AC3" t="s">
        <v>118</v>
      </c>
    </row>
    <row r="4" spans="1:29" x14ac:dyDescent="0.25">
      <c r="A4" s="6">
        <v>595</v>
      </c>
      <c r="B4" s="6" t="s">
        <v>198</v>
      </c>
      <c r="C4" s="6" t="s">
        <v>199</v>
      </c>
      <c r="D4" s="6" t="s">
        <v>26</v>
      </c>
      <c r="E4" s="6" t="s">
        <v>180</v>
      </c>
      <c r="F4" s="7">
        <v>2017</v>
      </c>
      <c r="G4" s="7">
        <v>15</v>
      </c>
      <c r="H4" s="7">
        <v>1</v>
      </c>
      <c r="I4" s="7">
        <v>1</v>
      </c>
      <c r="J4" s="7">
        <v>16</v>
      </c>
      <c r="K4" s="6" t="s">
        <v>15</v>
      </c>
      <c r="L4" s="8" t="s">
        <v>525</v>
      </c>
      <c r="M4" s="7" t="s">
        <v>357</v>
      </c>
      <c r="N4" s="7" t="s">
        <v>50</v>
      </c>
      <c r="O4" s="7" t="s">
        <v>50</v>
      </c>
      <c r="P4" s="7" t="s">
        <v>50</v>
      </c>
      <c r="Q4" s="7" t="s">
        <v>50</v>
      </c>
      <c r="R4" s="8" t="s">
        <v>51</v>
      </c>
      <c r="S4" t="s">
        <v>52</v>
      </c>
      <c r="T4" t="s">
        <v>53</v>
      </c>
      <c r="U4" s="11" t="s">
        <v>577</v>
      </c>
      <c r="V4" s="11"/>
      <c r="W4" s="11" t="s">
        <v>150</v>
      </c>
      <c r="X4" t="s">
        <v>90</v>
      </c>
      <c r="Y4" t="s">
        <v>364</v>
      </c>
      <c r="Z4">
        <v>57</v>
      </c>
      <c r="AA4">
        <v>75</v>
      </c>
      <c r="AB4" s="19">
        <f t="shared" si="0"/>
        <v>0.76</v>
      </c>
      <c r="AC4" t="s">
        <v>118</v>
      </c>
    </row>
    <row r="5" spans="1:29" x14ac:dyDescent="0.25">
      <c r="A5" s="6">
        <v>1080</v>
      </c>
      <c r="B5" s="6" t="s">
        <v>239</v>
      </c>
      <c r="C5" s="6" t="s">
        <v>240</v>
      </c>
      <c r="D5" s="6" t="s">
        <v>26</v>
      </c>
      <c r="E5" s="6" t="s">
        <v>202</v>
      </c>
      <c r="F5" s="7">
        <v>2017</v>
      </c>
      <c r="G5" s="7">
        <v>64</v>
      </c>
      <c r="H5" s="7" t="s">
        <v>184</v>
      </c>
      <c r="I5" s="7">
        <v>11</v>
      </c>
      <c r="J5" s="7">
        <v>20</v>
      </c>
      <c r="K5" s="6" t="s">
        <v>15</v>
      </c>
      <c r="L5" s="7" t="s">
        <v>536</v>
      </c>
      <c r="M5" s="7" t="s">
        <v>50</v>
      </c>
      <c r="N5" s="7" t="s">
        <v>50</v>
      </c>
      <c r="O5" s="7" t="s">
        <v>50</v>
      </c>
      <c r="P5" s="7" t="s">
        <v>50</v>
      </c>
      <c r="Q5" s="7" t="s">
        <v>50</v>
      </c>
      <c r="R5" s="7" t="s">
        <v>50</v>
      </c>
      <c r="S5" s="7" t="s">
        <v>52</v>
      </c>
      <c r="T5" s="7" t="s">
        <v>53</v>
      </c>
      <c r="U5" s="11" t="s">
        <v>577</v>
      </c>
      <c r="V5" s="11"/>
      <c r="W5" s="8" t="s">
        <v>462</v>
      </c>
      <c r="X5" s="8" t="s">
        <v>443</v>
      </c>
      <c r="Y5" t="s">
        <v>394</v>
      </c>
      <c r="Z5">
        <v>138</v>
      </c>
      <c r="AA5">
        <v>316</v>
      </c>
      <c r="AB5" s="19">
        <f t="shared" si="0"/>
        <v>0.43670886075949367</v>
      </c>
      <c r="AC5" t="s">
        <v>118</v>
      </c>
    </row>
    <row r="6" spans="1:29" s="20" customFormat="1" x14ac:dyDescent="0.25">
      <c r="A6" s="20">
        <v>116</v>
      </c>
      <c r="B6" s="20" t="s">
        <v>169</v>
      </c>
      <c r="C6" s="20" t="s">
        <v>170</v>
      </c>
      <c r="E6" s="20" t="s">
        <v>171</v>
      </c>
      <c r="F6" s="21">
        <v>2011</v>
      </c>
      <c r="G6" s="21">
        <v>41</v>
      </c>
      <c r="H6" s="21">
        <v>5</v>
      </c>
      <c r="I6" s="21">
        <v>713</v>
      </c>
      <c r="J6" s="21">
        <v>717</v>
      </c>
      <c r="K6" s="20" t="s">
        <v>15</v>
      </c>
      <c r="L6" s="24" t="s">
        <v>518</v>
      </c>
      <c r="M6" s="21" t="s">
        <v>50</v>
      </c>
      <c r="N6" s="21" t="s">
        <v>277</v>
      </c>
      <c r="O6" s="20" t="s">
        <v>50</v>
      </c>
      <c r="P6" s="20" t="s">
        <v>50</v>
      </c>
      <c r="Q6" s="20" t="s">
        <v>50</v>
      </c>
      <c r="R6" s="20" t="s">
        <v>50</v>
      </c>
      <c r="S6" s="20" t="s">
        <v>52</v>
      </c>
      <c r="T6" s="20" t="s">
        <v>53</v>
      </c>
      <c r="U6" s="20" t="s">
        <v>285</v>
      </c>
      <c r="W6" s="21" t="s">
        <v>285</v>
      </c>
      <c r="X6" s="20" t="s">
        <v>90</v>
      </c>
      <c r="Y6" s="22" t="s">
        <v>278</v>
      </c>
      <c r="Z6" s="20">
        <v>79</v>
      </c>
      <c r="AA6" s="20">
        <v>90</v>
      </c>
      <c r="AB6" s="26">
        <f t="shared" si="0"/>
        <v>0.87777777777777777</v>
      </c>
      <c r="AC6" s="20" t="s">
        <v>118</v>
      </c>
    </row>
    <row r="7" spans="1:29" s="20" customFormat="1" x14ac:dyDescent="0.25">
      <c r="A7" s="20">
        <v>229</v>
      </c>
      <c r="B7" s="20" t="s">
        <v>181</v>
      </c>
      <c r="C7" s="20" t="s">
        <v>182</v>
      </c>
      <c r="D7" s="20" t="s">
        <v>26</v>
      </c>
      <c r="E7" s="20" t="s">
        <v>183</v>
      </c>
      <c r="F7" s="21">
        <v>2013</v>
      </c>
      <c r="G7" s="21">
        <v>4</v>
      </c>
      <c r="H7" s="21">
        <v>4</v>
      </c>
      <c r="I7" s="21">
        <v>1000140</v>
      </c>
      <c r="J7" s="21" t="s">
        <v>184</v>
      </c>
      <c r="K7" s="20" t="s">
        <v>15</v>
      </c>
      <c r="L7" s="20" t="s">
        <v>521</v>
      </c>
      <c r="M7" s="21" t="s">
        <v>50</v>
      </c>
      <c r="N7" s="21" t="s">
        <v>70</v>
      </c>
      <c r="O7" s="20" t="s">
        <v>50</v>
      </c>
      <c r="P7" s="20" t="s">
        <v>50</v>
      </c>
      <c r="Q7" s="20" t="s">
        <v>50</v>
      </c>
      <c r="R7" s="20" t="s">
        <v>50</v>
      </c>
      <c r="S7" s="21" t="s">
        <v>52</v>
      </c>
      <c r="T7" s="20" t="s">
        <v>53</v>
      </c>
      <c r="U7" s="20" t="s">
        <v>285</v>
      </c>
      <c r="W7" s="21" t="s">
        <v>311</v>
      </c>
      <c r="X7" s="20" t="s">
        <v>90</v>
      </c>
      <c r="Y7" s="21" t="s">
        <v>303</v>
      </c>
      <c r="Z7" s="25">
        <f>40-3</f>
        <v>37</v>
      </c>
      <c r="AA7" s="20">
        <v>40</v>
      </c>
      <c r="AB7" s="30">
        <f t="shared" si="0"/>
        <v>0.92500000000000004</v>
      </c>
      <c r="AC7" s="20" t="s">
        <v>118</v>
      </c>
    </row>
    <row r="8" spans="1:29" s="20" customFormat="1" x14ac:dyDescent="0.25">
      <c r="A8" s="20">
        <v>597</v>
      </c>
      <c r="B8" s="20" t="s">
        <v>122</v>
      </c>
      <c r="C8" s="20" t="s">
        <v>123</v>
      </c>
      <c r="D8" s="20" t="s">
        <v>26</v>
      </c>
      <c r="E8" s="20" t="s">
        <v>124</v>
      </c>
      <c r="F8" s="21">
        <v>2015</v>
      </c>
      <c r="G8" s="21">
        <v>18</v>
      </c>
      <c r="H8" s="21">
        <v>5</v>
      </c>
      <c r="I8" s="21">
        <v>454</v>
      </c>
      <c r="J8" s="21">
        <v>469</v>
      </c>
      <c r="K8" s="20" t="s">
        <v>15</v>
      </c>
      <c r="L8" s="21" t="s">
        <v>527</v>
      </c>
      <c r="M8" s="20" t="s">
        <v>126</v>
      </c>
      <c r="N8" s="20" t="s">
        <v>125</v>
      </c>
      <c r="O8" s="20" t="s">
        <v>50</v>
      </c>
      <c r="P8" s="20" t="s">
        <v>50</v>
      </c>
      <c r="Q8" s="20" t="s">
        <v>50</v>
      </c>
      <c r="R8" s="20" t="s">
        <v>51</v>
      </c>
      <c r="S8" s="20" t="s">
        <v>52</v>
      </c>
      <c r="T8" s="20" t="s">
        <v>53</v>
      </c>
      <c r="U8" s="21" t="s">
        <v>285</v>
      </c>
      <c r="V8" s="21"/>
      <c r="W8" s="22" t="s">
        <v>148</v>
      </c>
      <c r="X8" s="20" t="s">
        <v>90</v>
      </c>
      <c r="Y8" s="20" t="s">
        <v>127</v>
      </c>
      <c r="Z8" s="20">
        <v>99</v>
      </c>
      <c r="AA8" s="20">
        <v>110</v>
      </c>
      <c r="AB8" s="26">
        <f t="shared" si="0"/>
        <v>0.9</v>
      </c>
      <c r="AC8" s="20" t="s">
        <v>118</v>
      </c>
    </row>
    <row r="9" spans="1:29" s="20" customFormat="1" x14ac:dyDescent="0.25">
      <c r="A9" s="20">
        <v>923</v>
      </c>
      <c r="B9" s="20" t="s">
        <v>233</v>
      </c>
      <c r="C9" s="20" t="s">
        <v>234</v>
      </c>
      <c r="D9" s="20" t="s">
        <v>26</v>
      </c>
      <c r="E9" s="20" t="s">
        <v>235</v>
      </c>
      <c r="F9" s="21">
        <v>2015</v>
      </c>
      <c r="G9" s="21">
        <v>129</v>
      </c>
      <c r="H9" s="21">
        <v>9</v>
      </c>
      <c r="I9" s="21">
        <v>1278</v>
      </c>
      <c r="J9" s="21">
        <v>1284</v>
      </c>
      <c r="K9" s="20" t="s">
        <v>15</v>
      </c>
      <c r="L9" s="24" t="s">
        <v>534</v>
      </c>
      <c r="M9" s="21" t="s">
        <v>404</v>
      </c>
      <c r="N9" s="21" t="s">
        <v>50</v>
      </c>
      <c r="O9" s="21" t="s">
        <v>50</v>
      </c>
      <c r="P9" s="21" t="s">
        <v>50</v>
      </c>
      <c r="Q9" s="21" t="s">
        <v>50</v>
      </c>
      <c r="R9" s="21" t="s">
        <v>51</v>
      </c>
      <c r="S9" s="21" t="s">
        <v>52</v>
      </c>
      <c r="T9" s="21" t="s">
        <v>53</v>
      </c>
      <c r="U9" s="21" t="s">
        <v>285</v>
      </c>
      <c r="V9" s="21"/>
      <c r="W9" s="21" t="s">
        <v>285</v>
      </c>
      <c r="X9" s="21" t="s">
        <v>90</v>
      </c>
      <c r="Y9" s="21" t="s">
        <v>405</v>
      </c>
      <c r="Z9" s="20">
        <v>60</v>
      </c>
      <c r="AA9" s="20">
        <v>117</v>
      </c>
      <c r="AB9" s="26">
        <f t="shared" si="0"/>
        <v>0.51282051282051277</v>
      </c>
      <c r="AC9" s="20" t="s">
        <v>118</v>
      </c>
    </row>
    <row r="10" spans="1:29" s="20" customFormat="1" x14ac:dyDescent="0.25">
      <c r="A10" s="20">
        <v>951</v>
      </c>
      <c r="B10" s="20" t="s">
        <v>236</v>
      </c>
      <c r="C10" s="20" t="s">
        <v>237</v>
      </c>
      <c r="D10" s="20" t="s">
        <v>26</v>
      </c>
      <c r="E10" s="20" t="s">
        <v>238</v>
      </c>
      <c r="F10" s="21">
        <v>2015</v>
      </c>
      <c r="G10" s="21">
        <v>5</v>
      </c>
      <c r="H10" s="21">
        <v>2</v>
      </c>
      <c r="I10" s="21">
        <v>157</v>
      </c>
      <c r="J10" s="21">
        <v>161</v>
      </c>
      <c r="K10" s="20" t="s">
        <v>15</v>
      </c>
      <c r="L10" s="21" t="s">
        <v>535</v>
      </c>
      <c r="M10" s="21" t="s">
        <v>50</v>
      </c>
      <c r="N10" s="21" t="s">
        <v>70</v>
      </c>
      <c r="O10" s="21" t="s">
        <v>50</v>
      </c>
      <c r="P10" s="21" t="s">
        <v>50</v>
      </c>
      <c r="Q10" s="21" t="s">
        <v>50</v>
      </c>
      <c r="R10" s="21" t="s">
        <v>50</v>
      </c>
      <c r="S10" s="21" t="s">
        <v>52</v>
      </c>
      <c r="T10" s="20" t="s">
        <v>53</v>
      </c>
      <c r="U10" s="21" t="s">
        <v>285</v>
      </c>
      <c r="V10" s="21"/>
      <c r="W10" s="21" t="s">
        <v>285</v>
      </c>
      <c r="X10" s="21" t="s">
        <v>443</v>
      </c>
      <c r="Y10" s="21" t="s">
        <v>441</v>
      </c>
      <c r="Z10" s="20">
        <f>23+152+41+12</f>
        <v>228</v>
      </c>
      <c r="AA10" s="20">
        <v>351</v>
      </c>
      <c r="AB10" s="26">
        <f t="shared" si="0"/>
        <v>0.6495726495726496</v>
      </c>
      <c r="AC10" s="20" t="s">
        <v>118</v>
      </c>
    </row>
    <row r="11" spans="1:29" s="20" customFormat="1" x14ac:dyDescent="0.25">
      <c r="A11" s="20">
        <v>291</v>
      </c>
      <c r="B11" s="20" t="s">
        <v>188</v>
      </c>
      <c r="C11" s="20" t="s">
        <v>189</v>
      </c>
      <c r="D11" s="20" t="s">
        <v>26</v>
      </c>
      <c r="E11" s="20" t="s">
        <v>14</v>
      </c>
      <c r="F11" s="21">
        <v>2016</v>
      </c>
      <c r="G11" s="21">
        <v>63</v>
      </c>
      <c r="H11" s="21" t="s">
        <v>184</v>
      </c>
      <c r="I11" s="21">
        <v>147</v>
      </c>
      <c r="J11" s="21">
        <v>157</v>
      </c>
      <c r="K11" s="20" t="s">
        <v>15</v>
      </c>
      <c r="L11" s="20" t="s">
        <v>523</v>
      </c>
      <c r="M11" s="21" t="s">
        <v>50</v>
      </c>
      <c r="N11" s="21" t="s">
        <v>70</v>
      </c>
      <c r="O11" s="20" t="s">
        <v>50</v>
      </c>
      <c r="P11" s="20" t="s">
        <v>50</v>
      </c>
      <c r="Q11" s="20" t="s">
        <v>50</v>
      </c>
      <c r="R11" s="20" t="s">
        <v>50</v>
      </c>
      <c r="S11" s="21" t="s">
        <v>52</v>
      </c>
      <c r="T11" s="20" t="s">
        <v>53</v>
      </c>
      <c r="U11" s="20" t="s">
        <v>285</v>
      </c>
      <c r="W11" s="21" t="s">
        <v>285</v>
      </c>
      <c r="X11" s="20" t="s">
        <v>90</v>
      </c>
      <c r="Y11" s="21" t="s">
        <v>338</v>
      </c>
      <c r="Z11" s="25">
        <f>(100%-2.8%)*AA11</f>
        <v>171.072</v>
      </c>
      <c r="AA11" s="20">
        <v>176</v>
      </c>
      <c r="AB11" s="26">
        <f t="shared" si="0"/>
        <v>0.97199999999999998</v>
      </c>
      <c r="AC11" s="20" t="s">
        <v>118</v>
      </c>
    </row>
    <row r="12" spans="1:29" s="20" customFormat="1" x14ac:dyDescent="0.25">
      <c r="A12" s="20">
        <v>596</v>
      </c>
      <c r="B12" s="20" t="s">
        <v>200</v>
      </c>
      <c r="C12" s="20" t="s">
        <v>201</v>
      </c>
      <c r="D12" s="20" t="s">
        <v>26</v>
      </c>
      <c r="E12" s="20" t="s">
        <v>202</v>
      </c>
      <c r="F12" s="21">
        <v>2016</v>
      </c>
      <c r="G12" s="21">
        <v>57</v>
      </c>
      <c r="H12" s="21" t="s">
        <v>184</v>
      </c>
      <c r="I12" s="21">
        <v>52</v>
      </c>
      <c r="J12" s="21">
        <v>59</v>
      </c>
      <c r="K12" s="20" t="s">
        <v>15</v>
      </c>
      <c r="L12" s="21" t="s">
        <v>526</v>
      </c>
      <c r="M12" s="21" t="s">
        <v>126</v>
      </c>
      <c r="N12" s="21" t="s">
        <v>50</v>
      </c>
      <c r="O12" s="21" t="s">
        <v>50</v>
      </c>
      <c r="P12" s="21" t="s">
        <v>50</v>
      </c>
      <c r="Q12" s="21" t="s">
        <v>50</v>
      </c>
      <c r="R12" s="21" t="s">
        <v>51</v>
      </c>
      <c r="S12" s="20" t="s">
        <v>52</v>
      </c>
      <c r="T12" s="20" t="s">
        <v>53</v>
      </c>
      <c r="U12" s="21" t="s">
        <v>285</v>
      </c>
      <c r="V12" s="21"/>
      <c r="W12" s="22" t="s">
        <v>148</v>
      </c>
      <c r="X12" s="20" t="s">
        <v>90</v>
      </c>
      <c r="Y12" s="20" t="s">
        <v>365</v>
      </c>
      <c r="Z12" s="20">
        <v>219</v>
      </c>
      <c r="AA12" s="20">
        <v>229</v>
      </c>
      <c r="AB12" s="26">
        <f t="shared" si="0"/>
        <v>0.95633187772925765</v>
      </c>
      <c r="AC12" s="20" t="s">
        <v>118</v>
      </c>
    </row>
    <row r="13" spans="1:29" s="20" customFormat="1" x14ac:dyDescent="0.25">
      <c r="A13" s="20">
        <v>832</v>
      </c>
      <c r="B13" s="20" t="s">
        <v>225</v>
      </c>
      <c r="C13" s="20" t="s">
        <v>226</v>
      </c>
      <c r="D13" s="20" t="s">
        <v>26</v>
      </c>
      <c r="E13" s="20" t="s">
        <v>227</v>
      </c>
      <c r="F13" s="21">
        <v>2016</v>
      </c>
      <c r="G13" s="21">
        <v>79</v>
      </c>
      <c r="H13" s="21">
        <v>9</v>
      </c>
      <c r="I13" s="21">
        <v>1588</v>
      </c>
      <c r="J13" s="21">
        <v>1598</v>
      </c>
      <c r="K13" s="20" t="s">
        <v>15</v>
      </c>
      <c r="L13" s="21" t="s">
        <v>531</v>
      </c>
      <c r="M13" s="20" t="s">
        <v>495</v>
      </c>
      <c r="N13" s="21" t="s">
        <v>70</v>
      </c>
      <c r="O13" s="21" t="s">
        <v>50</v>
      </c>
      <c r="P13" s="21" t="s">
        <v>50</v>
      </c>
      <c r="Q13" s="21" t="s">
        <v>50</v>
      </c>
      <c r="R13" s="21" t="s">
        <v>51</v>
      </c>
      <c r="S13" s="20" t="s">
        <v>52</v>
      </c>
      <c r="T13" s="21" t="s">
        <v>53</v>
      </c>
      <c r="U13" s="21" t="s">
        <v>285</v>
      </c>
      <c r="V13" s="21"/>
      <c r="W13" s="21" t="s">
        <v>437</v>
      </c>
      <c r="X13" s="21" t="s">
        <v>90</v>
      </c>
      <c r="Y13" s="21" t="s">
        <v>493</v>
      </c>
      <c r="Z13" s="20">
        <f>263+200+152</f>
        <v>615</v>
      </c>
      <c r="AA13" s="20">
        <f>277+211+156</f>
        <v>644</v>
      </c>
      <c r="AB13" s="26">
        <f t="shared" si="0"/>
        <v>0.95496894409937894</v>
      </c>
      <c r="AC13" s="20" t="s">
        <v>118</v>
      </c>
    </row>
    <row r="14" spans="1:29" s="20" customFormat="1" x14ac:dyDescent="0.25">
      <c r="A14" s="20">
        <v>595</v>
      </c>
      <c r="B14" s="20" t="s">
        <v>198</v>
      </c>
      <c r="C14" s="20" t="s">
        <v>199</v>
      </c>
      <c r="D14" s="20" t="s">
        <v>26</v>
      </c>
      <c r="E14" s="20" t="s">
        <v>180</v>
      </c>
      <c r="F14" s="21">
        <v>2017</v>
      </c>
      <c r="G14" s="21">
        <v>15</v>
      </c>
      <c r="H14" s="21">
        <v>1</v>
      </c>
      <c r="I14" s="21">
        <v>1</v>
      </c>
      <c r="J14" s="21">
        <v>16</v>
      </c>
      <c r="K14" s="20" t="s">
        <v>15</v>
      </c>
      <c r="L14" s="21" t="s">
        <v>525</v>
      </c>
      <c r="M14" s="21" t="s">
        <v>357</v>
      </c>
      <c r="N14" s="21" t="s">
        <v>50</v>
      </c>
      <c r="O14" s="21" t="s">
        <v>50</v>
      </c>
      <c r="P14" s="21" t="s">
        <v>50</v>
      </c>
      <c r="Q14" s="21" t="s">
        <v>50</v>
      </c>
      <c r="R14" s="21" t="s">
        <v>51</v>
      </c>
      <c r="S14" s="20" t="s">
        <v>52</v>
      </c>
      <c r="T14" s="20" t="s">
        <v>53</v>
      </c>
      <c r="U14" s="21" t="s">
        <v>285</v>
      </c>
      <c r="V14" s="21"/>
      <c r="W14" s="22" t="s">
        <v>148</v>
      </c>
      <c r="X14" s="20" t="s">
        <v>90</v>
      </c>
      <c r="Y14" s="20" t="s">
        <v>364</v>
      </c>
      <c r="Z14" s="20">
        <v>66</v>
      </c>
      <c r="AA14" s="20">
        <v>75</v>
      </c>
      <c r="AB14" s="26">
        <f t="shared" si="0"/>
        <v>0.88</v>
      </c>
      <c r="AC14" s="20" t="s">
        <v>118</v>
      </c>
    </row>
    <row r="15" spans="1:29" s="20" customFormat="1" x14ac:dyDescent="0.25">
      <c r="A15" s="20">
        <v>1080</v>
      </c>
      <c r="B15" s="20" t="s">
        <v>239</v>
      </c>
      <c r="C15" s="20" t="s">
        <v>240</v>
      </c>
      <c r="D15" s="20" t="s">
        <v>26</v>
      </c>
      <c r="E15" s="20" t="s">
        <v>202</v>
      </c>
      <c r="F15" s="21">
        <v>2017</v>
      </c>
      <c r="G15" s="21">
        <v>64</v>
      </c>
      <c r="H15" s="21" t="s">
        <v>184</v>
      </c>
      <c r="I15" s="21">
        <v>11</v>
      </c>
      <c r="J15" s="21">
        <v>20</v>
      </c>
      <c r="K15" s="20" t="s">
        <v>15</v>
      </c>
      <c r="L15" s="21" t="s">
        <v>536</v>
      </c>
      <c r="M15" s="21" t="s">
        <v>50</v>
      </c>
      <c r="N15" s="21" t="s">
        <v>50</v>
      </c>
      <c r="O15" s="21" t="s">
        <v>50</v>
      </c>
      <c r="P15" s="21" t="s">
        <v>50</v>
      </c>
      <c r="Q15" s="21" t="s">
        <v>50</v>
      </c>
      <c r="R15" s="21" t="s">
        <v>50</v>
      </c>
      <c r="S15" s="21" t="s">
        <v>52</v>
      </c>
      <c r="T15" s="21" t="s">
        <v>53</v>
      </c>
      <c r="U15" s="21" t="s">
        <v>285</v>
      </c>
      <c r="V15" s="21"/>
      <c r="W15" s="21" t="s">
        <v>463</v>
      </c>
      <c r="X15" s="21" t="s">
        <v>443</v>
      </c>
      <c r="Y15" s="20" t="s">
        <v>394</v>
      </c>
      <c r="Z15" s="20">
        <v>274</v>
      </c>
      <c r="AA15" s="20">
        <v>316</v>
      </c>
      <c r="AB15" s="26">
        <f t="shared" si="0"/>
        <v>0.86708860759493667</v>
      </c>
      <c r="AC15" s="20" t="s">
        <v>118</v>
      </c>
    </row>
    <row r="16" spans="1:29" x14ac:dyDescent="0.25">
      <c r="A16" s="6">
        <v>597</v>
      </c>
      <c r="B16" s="6" t="s">
        <v>122</v>
      </c>
      <c r="C16" s="6" t="s">
        <v>123</v>
      </c>
      <c r="D16" s="6" t="s">
        <v>26</v>
      </c>
      <c r="E16" s="6" t="s">
        <v>124</v>
      </c>
      <c r="F16" s="7">
        <v>2015</v>
      </c>
      <c r="G16" s="7">
        <v>18</v>
      </c>
      <c r="H16" s="7">
        <v>5</v>
      </c>
      <c r="I16" s="7">
        <v>454</v>
      </c>
      <c r="J16" s="7">
        <v>469</v>
      </c>
      <c r="K16" t="s">
        <v>15</v>
      </c>
      <c r="L16" s="8" t="s">
        <v>527</v>
      </c>
      <c r="M16" t="s">
        <v>126</v>
      </c>
      <c r="N16" t="s">
        <v>125</v>
      </c>
      <c r="O16" t="s">
        <v>50</v>
      </c>
      <c r="P16" t="s">
        <v>50</v>
      </c>
      <c r="Q16" t="s">
        <v>50</v>
      </c>
      <c r="R16" t="s">
        <v>51</v>
      </c>
      <c r="S16" t="s">
        <v>52</v>
      </c>
      <c r="T16" t="s">
        <v>53</v>
      </c>
      <c r="U16" s="8" t="s">
        <v>576</v>
      </c>
      <c r="V16" s="8"/>
      <c r="W16" s="11" t="s">
        <v>146</v>
      </c>
      <c r="X16" t="s">
        <v>90</v>
      </c>
      <c r="Y16" t="s">
        <v>127</v>
      </c>
      <c r="Z16">
        <v>55</v>
      </c>
      <c r="AA16">
        <v>110</v>
      </c>
      <c r="AB16" s="19">
        <f t="shared" si="0"/>
        <v>0.5</v>
      </c>
      <c r="AC16" t="s">
        <v>118</v>
      </c>
    </row>
    <row r="17" spans="1:29" x14ac:dyDescent="0.25">
      <c r="A17" s="6">
        <v>596</v>
      </c>
      <c r="B17" s="6" t="s">
        <v>200</v>
      </c>
      <c r="C17" s="6" t="s">
        <v>201</v>
      </c>
      <c r="D17" s="6" t="s">
        <v>26</v>
      </c>
      <c r="E17" s="6" t="s">
        <v>202</v>
      </c>
      <c r="F17" s="7">
        <v>2016</v>
      </c>
      <c r="G17" s="7">
        <v>57</v>
      </c>
      <c r="H17" s="7" t="s">
        <v>184</v>
      </c>
      <c r="I17" s="7">
        <v>52</v>
      </c>
      <c r="J17" s="7">
        <v>59</v>
      </c>
      <c r="K17" s="6" t="s">
        <v>15</v>
      </c>
      <c r="L17" s="8" t="s">
        <v>526</v>
      </c>
      <c r="M17" s="8" t="s">
        <v>126</v>
      </c>
      <c r="N17" s="7" t="s">
        <v>50</v>
      </c>
      <c r="O17" s="7" t="s">
        <v>50</v>
      </c>
      <c r="P17" s="7" t="s">
        <v>50</v>
      </c>
      <c r="Q17" s="7" t="s">
        <v>50</v>
      </c>
      <c r="R17" s="8" t="s">
        <v>51</v>
      </c>
      <c r="S17" t="s">
        <v>52</v>
      </c>
      <c r="T17" t="s">
        <v>53</v>
      </c>
      <c r="U17" s="8" t="s">
        <v>576</v>
      </c>
      <c r="V17" s="8"/>
      <c r="W17" s="11" t="s">
        <v>146</v>
      </c>
      <c r="X17" t="s">
        <v>90</v>
      </c>
      <c r="Y17" t="s">
        <v>365</v>
      </c>
      <c r="Z17">
        <v>62</v>
      </c>
      <c r="AA17">
        <v>229</v>
      </c>
      <c r="AB17" s="19">
        <f t="shared" si="0"/>
        <v>0.27074235807860264</v>
      </c>
      <c r="AC17" t="s">
        <v>118</v>
      </c>
    </row>
    <row r="18" spans="1:29" x14ac:dyDescent="0.25">
      <c r="A18" s="6">
        <v>595</v>
      </c>
      <c r="B18" s="6" t="s">
        <v>198</v>
      </c>
      <c r="C18" s="6" t="s">
        <v>199</v>
      </c>
      <c r="D18" s="6" t="s">
        <v>26</v>
      </c>
      <c r="E18" s="6" t="s">
        <v>180</v>
      </c>
      <c r="F18" s="7">
        <v>2017</v>
      </c>
      <c r="G18" s="7">
        <v>15</v>
      </c>
      <c r="H18" s="7">
        <v>1</v>
      </c>
      <c r="I18" s="7">
        <v>1</v>
      </c>
      <c r="J18" s="7">
        <v>16</v>
      </c>
      <c r="K18" s="6" t="s">
        <v>15</v>
      </c>
      <c r="L18" s="8" t="s">
        <v>525</v>
      </c>
      <c r="M18" s="7" t="s">
        <v>357</v>
      </c>
      <c r="N18" s="7" t="s">
        <v>50</v>
      </c>
      <c r="O18" s="7" t="s">
        <v>50</v>
      </c>
      <c r="P18" s="7" t="s">
        <v>50</v>
      </c>
      <c r="Q18" s="7" t="s">
        <v>50</v>
      </c>
      <c r="R18" s="8" t="s">
        <v>51</v>
      </c>
      <c r="S18" t="s">
        <v>52</v>
      </c>
      <c r="T18" t="s">
        <v>53</v>
      </c>
      <c r="U18" s="8" t="s">
        <v>576</v>
      </c>
      <c r="V18" s="8"/>
      <c r="W18" s="11" t="s">
        <v>146</v>
      </c>
      <c r="X18" t="s">
        <v>90</v>
      </c>
      <c r="Y18" t="s">
        <v>364</v>
      </c>
      <c r="Z18">
        <v>30</v>
      </c>
      <c r="AA18">
        <v>75</v>
      </c>
      <c r="AB18" s="19">
        <f t="shared" si="0"/>
        <v>0.4</v>
      </c>
      <c r="AC18" t="s">
        <v>118</v>
      </c>
    </row>
    <row r="19" spans="1:29" s="20" customFormat="1" x14ac:dyDescent="0.25">
      <c r="A19" s="20">
        <v>116</v>
      </c>
      <c r="B19" s="20" t="s">
        <v>169</v>
      </c>
      <c r="C19" s="20" t="s">
        <v>170</v>
      </c>
      <c r="E19" s="20" t="s">
        <v>171</v>
      </c>
      <c r="F19" s="21">
        <v>2011</v>
      </c>
      <c r="G19" s="21">
        <v>41</v>
      </c>
      <c r="H19" s="21">
        <v>5</v>
      </c>
      <c r="I19" s="21">
        <v>713</v>
      </c>
      <c r="J19" s="21">
        <v>717</v>
      </c>
      <c r="K19" s="20" t="s">
        <v>15</v>
      </c>
      <c r="L19" s="24" t="s">
        <v>518</v>
      </c>
      <c r="M19" s="21" t="s">
        <v>50</v>
      </c>
      <c r="N19" s="21" t="s">
        <v>277</v>
      </c>
      <c r="O19" s="20" t="s">
        <v>50</v>
      </c>
      <c r="P19" s="20" t="s">
        <v>50</v>
      </c>
      <c r="Q19" s="20" t="s">
        <v>50</v>
      </c>
      <c r="R19" s="20" t="s">
        <v>50</v>
      </c>
      <c r="S19" s="20" t="s">
        <v>52</v>
      </c>
      <c r="T19" s="20" t="s">
        <v>53</v>
      </c>
      <c r="U19" s="20" t="s">
        <v>573</v>
      </c>
      <c r="W19" s="21" t="s">
        <v>282</v>
      </c>
      <c r="X19" s="20" t="s">
        <v>90</v>
      </c>
      <c r="Y19" s="22" t="s">
        <v>278</v>
      </c>
      <c r="Z19" s="20">
        <v>50</v>
      </c>
      <c r="AA19" s="20">
        <v>90</v>
      </c>
      <c r="AB19" s="26">
        <f t="shared" si="0"/>
        <v>0.55555555555555558</v>
      </c>
      <c r="AC19" s="20" t="s">
        <v>118</v>
      </c>
    </row>
    <row r="20" spans="1:29" s="20" customFormat="1" x14ac:dyDescent="0.25">
      <c r="A20" s="20">
        <v>229</v>
      </c>
      <c r="B20" s="20" t="s">
        <v>181</v>
      </c>
      <c r="C20" s="20" t="s">
        <v>182</v>
      </c>
      <c r="D20" s="20" t="s">
        <v>26</v>
      </c>
      <c r="E20" s="20" t="s">
        <v>183</v>
      </c>
      <c r="F20" s="21">
        <v>2013</v>
      </c>
      <c r="G20" s="21">
        <v>4</v>
      </c>
      <c r="H20" s="21">
        <v>4</v>
      </c>
      <c r="I20" s="21">
        <v>1000140</v>
      </c>
      <c r="J20" s="21" t="s">
        <v>184</v>
      </c>
      <c r="K20" s="20" t="s">
        <v>15</v>
      </c>
      <c r="L20" s="20" t="s">
        <v>521</v>
      </c>
      <c r="M20" s="21" t="s">
        <v>50</v>
      </c>
      <c r="N20" s="21" t="s">
        <v>70</v>
      </c>
      <c r="O20" s="20" t="s">
        <v>50</v>
      </c>
      <c r="P20" s="20" t="s">
        <v>50</v>
      </c>
      <c r="Q20" s="20" t="s">
        <v>50</v>
      </c>
      <c r="R20" s="20" t="s">
        <v>50</v>
      </c>
      <c r="S20" s="21" t="s">
        <v>52</v>
      </c>
      <c r="T20" s="20" t="s">
        <v>53</v>
      </c>
      <c r="U20" s="20" t="s">
        <v>573</v>
      </c>
      <c r="W20" s="21" t="s">
        <v>306</v>
      </c>
      <c r="X20" s="20" t="s">
        <v>90</v>
      </c>
      <c r="Y20" s="21" t="s">
        <v>303</v>
      </c>
      <c r="Z20" s="25">
        <f>25%*AA20</f>
        <v>10</v>
      </c>
      <c r="AA20" s="20">
        <v>40</v>
      </c>
      <c r="AB20" s="26">
        <f t="shared" si="0"/>
        <v>0.25</v>
      </c>
      <c r="AC20" s="20" t="s">
        <v>118</v>
      </c>
    </row>
    <row r="21" spans="1:29" s="20" customFormat="1" x14ac:dyDescent="0.25">
      <c r="A21" s="20">
        <v>951</v>
      </c>
      <c r="B21" s="20" t="s">
        <v>236</v>
      </c>
      <c r="C21" s="20" t="s">
        <v>237</v>
      </c>
      <c r="D21" s="20" t="s">
        <v>26</v>
      </c>
      <c r="E21" s="20" t="s">
        <v>238</v>
      </c>
      <c r="F21" s="21">
        <v>2015</v>
      </c>
      <c r="G21" s="21">
        <v>5</v>
      </c>
      <c r="H21" s="21">
        <v>2</v>
      </c>
      <c r="I21" s="21">
        <v>157</v>
      </c>
      <c r="J21" s="21">
        <v>161</v>
      </c>
      <c r="K21" s="20" t="s">
        <v>15</v>
      </c>
      <c r="L21" s="21" t="s">
        <v>535</v>
      </c>
      <c r="M21" s="21" t="s">
        <v>50</v>
      </c>
      <c r="N21" s="21" t="s">
        <v>70</v>
      </c>
      <c r="O21" s="21" t="s">
        <v>50</v>
      </c>
      <c r="P21" s="21" t="s">
        <v>50</v>
      </c>
      <c r="Q21" s="21" t="s">
        <v>50</v>
      </c>
      <c r="R21" s="21" t="s">
        <v>50</v>
      </c>
      <c r="S21" s="21" t="s">
        <v>52</v>
      </c>
      <c r="T21" s="21" t="s">
        <v>53</v>
      </c>
      <c r="U21" s="20" t="s">
        <v>573</v>
      </c>
      <c r="W21" s="21" t="s">
        <v>444</v>
      </c>
      <c r="X21" s="21" t="s">
        <v>443</v>
      </c>
      <c r="Y21" s="21" t="s">
        <v>441</v>
      </c>
      <c r="Z21" s="25">
        <f>54.3%*AA21</f>
        <v>190.59299999999996</v>
      </c>
      <c r="AA21" s="20">
        <v>351</v>
      </c>
      <c r="AB21" s="26">
        <f t="shared" si="0"/>
        <v>0.54299999999999993</v>
      </c>
      <c r="AC21" s="20" t="s">
        <v>84</v>
      </c>
    </row>
    <row r="22" spans="1:29" x14ac:dyDescent="0.25">
      <c r="A22" s="6">
        <v>77</v>
      </c>
      <c r="B22" s="6" t="s">
        <v>24</v>
      </c>
      <c r="C22" s="6" t="s">
        <v>25</v>
      </c>
      <c r="D22" s="6" t="s">
        <v>26</v>
      </c>
      <c r="E22" s="6" t="s">
        <v>27</v>
      </c>
      <c r="F22" s="7">
        <v>2007</v>
      </c>
      <c r="G22" s="7">
        <v>98</v>
      </c>
      <c r="H22" s="7">
        <v>4</v>
      </c>
      <c r="I22" s="7">
        <v>344</v>
      </c>
      <c r="J22" s="7">
        <v>348</v>
      </c>
      <c r="K22" t="s">
        <v>15</v>
      </c>
      <c r="L22" t="s">
        <v>516</v>
      </c>
      <c r="M22" t="s">
        <v>49</v>
      </c>
      <c r="N22" t="s">
        <v>48</v>
      </c>
      <c r="O22" t="s">
        <v>50</v>
      </c>
      <c r="P22" t="s">
        <v>50</v>
      </c>
      <c r="Q22" t="s">
        <v>50</v>
      </c>
      <c r="R22" t="s">
        <v>51</v>
      </c>
      <c r="S22" t="s">
        <v>52</v>
      </c>
      <c r="T22" t="s">
        <v>53</v>
      </c>
      <c r="U22" t="s">
        <v>568</v>
      </c>
      <c r="W22" s="11" t="s">
        <v>60</v>
      </c>
      <c r="X22" t="s">
        <v>90</v>
      </c>
      <c r="Y22" t="s">
        <v>119</v>
      </c>
      <c r="Z22" s="3">
        <f>100-24</f>
        <v>76</v>
      </c>
      <c r="AA22">
        <v>100</v>
      </c>
      <c r="AB22" s="19">
        <f t="shared" si="0"/>
        <v>0.76</v>
      </c>
      <c r="AC22" t="s">
        <v>118</v>
      </c>
    </row>
    <row r="23" spans="1:29" x14ac:dyDescent="0.25">
      <c r="A23">
        <v>79</v>
      </c>
      <c r="B23" s="6" t="s">
        <v>12</v>
      </c>
      <c r="C23" s="6" t="s">
        <v>13</v>
      </c>
      <c r="D23" s="6"/>
      <c r="E23" s="6" t="s">
        <v>14</v>
      </c>
      <c r="F23" s="7">
        <v>2010</v>
      </c>
      <c r="G23" s="7">
        <v>21</v>
      </c>
      <c r="H23" s="7">
        <v>10</v>
      </c>
      <c r="I23" s="7">
        <v>1318</v>
      </c>
      <c r="J23" s="7">
        <v>1321</v>
      </c>
      <c r="K23" t="s">
        <v>15</v>
      </c>
      <c r="L23" s="9" t="s">
        <v>517</v>
      </c>
      <c r="M23" s="7" t="s">
        <v>69</v>
      </c>
      <c r="N23" t="s">
        <v>70</v>
      </c>
      <c r="O23" t="s">
        <v>50</v>
      </c>
      <c r="P23" t="s">
        <v>50</v>
      </c>
      <c r="Q23" t="s">
        <v>484</v>
      </c>
      <c r="R23" t="s">
        <v>51</v>
      </c>
      <c r="S23" t="s">
        <v>52</v>
      </c>
      <c r="T23" t="s">
        <v>53</v>
      </c>
      <c r="U23" t="s">
        <v>568</v>
      </c>
      <c r="W23" s="11" t="s">
        <v>74</v>
      </c>
      <c r="X23" t="s">
        <v>90</v>
      </c>
      <c r="Y23" t="s">
        <v>120</v>
      </c>
      <c r="Z23">
        <v>64</v>
      </c>
      <c r="AA23">
        <v>74</v>
      </c>
      <c r="AB23" s="19">
        <f t="shared" si="0"/>
        <v>0.86486486486486491</v>
      </c>
      <c r="AC23" t="s">
        <v>118</v>
      </c>
    </row>
    <row r="24" spans="1:29" x14ac:dyDescent="0.25">
      <c r="A24">
        <v>116</v>
      </c>
      <c r="B24" s="6" t="s">
        <v>169</v>
      </c>
      <c r="C24" s="6" t="s">
        <v>170</v>
      </c>
      <c r="D24" s="6"/>
      <c r="E24" s="6" t="s">
        <v>171</v>
      </c>
      <c r="F24" s="7">
        <v>2011</v>
      </c>
      <c r="G24" s="7">
        <v>41</v>
      </c>
      <c r="H24" s="7">
        <v>5</v>
      </c>
      <c r="I24" s="7">
        <v>713</v>
      </c>
      <c r="J24" s="7">
        <v>717</v>
      </c>
      <c r="K24" s="6" t="s">
        <v>15</v>
      </c>
      <c r="L24" s="9" t="s">
        <v>518</v>
      </c>
      <c r="M24" s="7" t="s">
        <v>50</v>
      </c>
      <c r="N24" s="7" t="s">
        <v>277</v>
      </c>
      <c r="O24" t="s">
        <v>50</v>
      </c>
      <c r="P24" t="s">
        <v>50</v>
      </c>
      <c r="Q24" t="s">
        <v>50</v>
      </c>
      <c r="R24" t="s">
        <v>50</v>
      </c>
      <c r="S24" t="s">
        <v>52</v>
      </c>
      <c r="T24" t="s">
        <v>53</v>
      </c>
      <c r="U24" t="s">
        <v>568</v>
      </c>
      <c r="W24" s="8" t="s">
        <v>283</v>
      </c>
      <c r="X24" t="s">
        <v>90</v>
      </c>
      <c r="Y24" s="11" t="s">
        <v>278</v>
      </c>
      <c r="Z24">
        <f>90-21</f>
        <v>69</v>
      </c>
      <c r="AA24">
        <v>90</v>
      </c>
      <c r="AB24" s="19">
        <f t="shared" si="0"/>
        <v>0.76666666666666672</v>
      </c>
      <c r="AC24" t="s">
        <v>118</v>
      </c>
    </row>
    <row r="25" spans="1:29" x14ac:dyDescent="0.25">
      <c r="A25" s="6">
        <v>1149</v>
      </c>
      <c r="B25" s="6" t="s">
        <v>252</v>
      </c>
      <c r="C25" s="6" t="s">
        <v>253</v>
      </c>
      <c r="D25" s="6" t="s">
        <v>26</v>
      </c>
      <c r="E25" s="6" t="s">
        <v>172</v>
      </c>
      <c r="F25" s="7">
        <v>2011</v>
      </c>
      <c r="G25" s="7">
        <v>1</v>
      </c>
      <c r="H25" s="7" t="s">
        <v>254</v>
      </c>
      <c r="I25" s="7" t="s">
        <v>255</v>
      </c>
      <c r="J25" s="7" t="s">
        <v>256</v>
      </c>
      <c r="K25" s="6" t="s">
        <v>15</v>
      </c>
      <c r="L25" s="7" t="s">
        <v>538</v>
      </c>
      <c r="M25" s="7" t="s">
        <v>70</v>
      </c>
      <c r="N25" s="7" t="s">
        <v>70</v>
      </c>
      <c r="O25" s="7" t="s">
        <v>70</v>
      </c>
      <c r="P25" s="7" t="s">
        <v>70</v>
      </c>
      <c r="Q25" s="7" t="s">
        <v>50</v>
      </c>
      <c r="R25" s="7" t="s">
        <v>471</v>
      </c>
      <c r="S25" s="7" t="s">
        <v>52</v>
      </c>
      <c r="T25" s="7" t="s">
        <v>53</v>
      </c>
      <c r="U25" s="7" t="s">
        <v>568</v>
      </c>
      <c r="V25" s="7"/>
      <c r="W25" s="8" t="s">
        <v>477</v>
      </c>
      <c r="X25" s="8" t="s">
        <v>443</v>
      </c>
      <c r="Y25" t="s">
        <v>55</v>
      </c>
      <c r="Z25" s="3">
        <f>54%*AA25</f>
        <v>62.1</v>
      </c>
      <c r="AA25">
        <v>115</v>
      </c>
      <c r="AB25" s="19">
        <f t="shared" si="0"/>
        <v>0.54</v>
      </c>
      <c r="AC25" t="s">
        <v>476</v>
      </c>
    </row>
    <row r="26" spans="1:29" x14ac:dyDescent="0.25">
      <c r="A26" s="6">
        <v>229</v>
      </c>
      <c r="B26" s="6" t="s">
        <v>181</v>
      </c>
      <c r="C26" s="6" t="s">
        <v>182</v>
      </c>
      <c r="D26" s="6" t="s">
        <v>26</v>
      </c>
      <c r="E26" s="6" t="s">
        <v>183</v>
      </c>
      <c r="F26" s="7">
        <v>2013</v>
      </c>
      <c r="G26" s="7">
        <v>4</v>
      </c>
      <c r="H26" s="7">
        <v>4</v>
      </c>
      <c r="I26" s="7">
        <v>1000140</v>
      </c>
      <c r="J26" s="7" t="s">
        <v>184</v>
      </c>
      <c r="K26" s="6" t="s">
        <v>15</v>
      </c>
      <c r="L26" t="s">
        <v>521</v>
      </c>
      <c r="M26" s="7" t="s">
        <v>50</v>
      </c>
      <c r="N26" s="7" t="s">
        <v>70</v>
      </c>
      <c r="O26" t="s">
        <v>50</v>
      </c>
      <c r="P26" t="s">
        <v>50</v>
      </c>
      <c r="Q26" t="s">
        <v>50</v>
      </c>
      <c r="R26" t="s">
        <v>50</v>
      </c>
      <c r="S26" s="8" t="s">
        <v>52</v>
      </c>
      <c r="T26" t="s">
        <v>53</v>
      </c>
      <c r="U26" t="s">
        <v>568</v>
      </c>
      <c r="W26" s="8" t="s">
        <v>309</v>
      </c>
      <c r="X26" t="s">
        <v>90</v>
      </c>
      <c r="Y26" s="8" t="s">
        <v>303</v>
      </c>
      <c r="Z26" s="3">
        <f>40-9</f>
        <v>31</v>
      </c>
      <c r="AA26">
        <v>40</v>
      </c>
      <c r="AB26" s="19">
        <f t="shared" si="0"/>
        <v>0.77500000000000002</v>
      </c>
      <c r="AC26" t="s">
        <v>118</v>
      </c>
    </row>
    <row r="27" spans="1:29" x14ac:dyDescent="0.25">
      <c r="A27">
        <v>1086</v>
      </c>
      <c r="B27" s="6" t="s">
        <v>21</v>
      </c>
      <c r="C27" s="6" t="s">
        <v>22</v>
      </c>
      <c r="D27" s="6"/>
      <c r="E27" s="6" t="s">
        <v>23</v>
      </c>
      <c r="F27" s="7">
        <v>2014</v>
      </c>
      <c r="G27" s="7">
        <v>71</v>
      </c>
      <c r="H27" s="7">
        <v>4</v>
      </c>
      <c r="I27" s="7">
        <v>265</v>
      </c>
      <c r="J27" s="7">
        <v>269</v>
      </c>
      <c r="K27" t="s">
        <v>15</v>
      </c>
      <c r="L27" s="7" t="s">
        <v>537</v>
      </c>
      <c r="M27" t="s">
        <v>50</v>
      </c>
      <c r="N27" t="s">
        <v>109</v>
      </c>
      <c r="O27" t="s">
        <v>50</v>
      </c>
      <c r="P27" t="s">
        <v>50</v>
      </c>
      <c r="Q27" t="s">
        <v>50</v>
      </c>
      <c r="R27" t="s">
        <v>50</v>
      </c>
      <c r="S27" t="s">
        <v>52</v>
      </c>
      <c r="T27" t="s">
        <v>53</v>
      </c>
      <c r="U27" t="s">
        <v>568</v>
      </c>
      <c r="W27" s="11" t="s">
        <v>60</v>
      </c>
      <c r="X27" t="s">
        <v>90</v>
      </c>
      <c r="Y27" t="s">
        <v>110</v>
      </c>
      <c r="Z27">
        <v>107</v>
      </c>
      <c r="AA27">
        <v>124</v>
      </c>
      <c r="AB27" s="19">
        <f t="shared" si="0"/>
        <v>0.86290322580645162</v>
      </c>
      <c r="AC27" t="s">
        <v>118</v>
      </c>
    </row>
    <row r="28" spans="1:29" x14ac:dyDescent="0.25">
      <c r="A28" s="6">
        <v>597</v>
      </c>
      <c r="B28" s="6" t="s">
        <v>122</v>
      </c>
      <c r="C28" s="6" t="s">
        <v>123</v>
      </c>
      <c r="D28" s="6" t="s">
        <v>26</v>
      </c>
      <c r="E28" s="6" t="s">
        <v>124</v>
      </c>
      <c r="F28" s="7">
        <v>2015</v>
      </c>
      <c r="G28" s="7">
        <v>18</v>
      </c>
      <c r="H28" s="7">
        <v>5</v>
      </c>
      <c r="I28" s="7">
        <v>454</v>
      </c>
      <c r="J28" s="7">
        <v>469</v>
      </c>
      <c r="K28" t="s">
        <v>15</v>
      </c>
      <c r="L28" s="8" t="s">
        <v>527</v>
      </c>
      <c r="M28" t="s">
        <v>126</v>
      </c>
      <c r="N28" t="s">
        <v>125</v>
      </c>
      <c r="O28" t="s">
        <v>50</v>
      </c>
      <c r="P28" t="s">
        <v>50</v>
      </c>
      <c r="Q28" t="s">
        <v>50</v>
      </c>
      <c r="R28" t="s">
        <v>51</v>
      </c>
      <c r="S28" t="s">
        <v>52</v>
      </c>
      <c r="T28" t="s">
        <v>53</v>
      </c>
      <c r="U28" t="s">
        <v>568</v>
      </c>
      <c r="W28" s="11" t="s">
        <v>149</v>
      </c>
      <c r="X28" t="s">
        <v>90</v>
      </c>
      <c r="Y28" t="s">
        <v>127</v>
      </c>
      <c r="Z28">
        <v>90</v>
      </c>
      <c r="AA28">
        <v>110</v>
      </c>
      <c r="AB28" s="19">
        <f t="shared" si="0"/>
        <v>0.81818181818181823</v>
      </c>
      <c r="AC28" t="s">
        <v>118</v>
      </c>
    </row>
    <row r="29" spans="1:29" x14ac:dyDescent="0.25">
      <c r="A29" s="6">
        <v>923</v>
      </c>
      <c r="B29" s="6" t="s">
        <v>233</v>
      </c>
      <c r="C29" s="6" t="s">
        <v>234</v>
      </c>
      <c r="D29" s="6" t="s">
        <v>26</v>
      </c>
      <c r="E29" s="6" t="s">
        <v>235</v>
      </c>
      <c r="F29" s="7">
        <v>2015</v>
      </c>
      <c r="G29" s="7">
        <v>129</v>
      </c>
      <c r="H29" s="7">
        <v>9</v>
      </c>
      <c r="I29" s="7">
        <v>1278</v>
      </c>
      <c r="J29" s="7">
        <v>1284</v>
      </c>
      <c r="K29" s="6" t="s">
        <v>15</v>
      </c>
      <c r="L29" s="9" t="s">
        <v>534</v>
      </c>
      <c r="M29" s="7" t="s">
        <v>404</v>
      </c>
      <c r="N29" s="7" t="s">
        <v>50</v>
      </c>
      <c r="O29" s="7" t="s">
        <v>50</v>
      </c>
      <c r="P29" s="7" t="s">
        <v>50</v>
      </c>
      <c r="Q29" s="7" t="s">
        <v>50</v>
      </c>
      <c r="R29" s="8" t="s">
        <v>51</v>
      </c>
      <c r="S29" s="7" t="s">
        <v>52</v>
      </c>
      <c r="T29" s="8" t="s">
        <v>53</v>
      </c>
      <c r="U29" t="s">
        <v>568</v>
      </c>
      <c r="W29" s="8" t="s">
        <v>409</v>
      </c>
      <c r="X29" s="8" t="s">
        <v>90</v>
      </c>
      <c r="Y29" s="8" t="s">
        <v>405</v>
      </c>
      <c r="Z29">
        <v>58</v>
      </c>
      <c r="AA29">
        <v>117</v>
      </c>
      <c r="AB29" s="19">
        <f t="shared" si="0"/>
        <v>0.49572649572649574</v>
      </c>
      <c r="AC29" t="s">
        <v>118</v>
      </c>
    </row>
    <row r="30" spans="1:29" x14ac:dyDescent="0.25">
      <c r="A30" s="6">
        <v>951</v>
      </c>
      <c r="B30" s="6" t="s">
        <v>236</v>
      </c>
      <c r="C30" s="6" t="s">
        <v>237</v>
      </c>
      <c r="D30" s="6" t="s">
        <v>26</v>
      </c>
      <c r="E30" s="6" t="s">
        <v>238</v>
      </c>
      <c r="F30" s="7">
        <v>2015</v>
      </c>
      <c r="G30" s="7">
        <v>5</v>
      </c>
      <c r="H30" s="7">
        <v>2</v>
      </c>
      <c r="I30" s="7">
        <v>157</v>
      </c>
      <c r="J30" s="7">
        <v>161</v>
      </c>
      <c r="K30" s="6" t="s">
        <v>15</v>
      </c>
      <c r="L30" s="8" t="s">
        <v>535</v>
      </c>
      <c r="M30" s="7" t="s">
        <v>50</v>
      </c>
      <c r="N30" s="7" t="s">
        <v>70</v>
      </c>
      <c r="O30" s="7" t="s">
        <v>50</v>
      </c>
      <c r="P30" s="7" t="s">
        <v>50</v>
      </c>
      <c r="Q30" s="7" t="s">
        <v>50</v>
      </c>
      <c r="R30" s="7" t="s">
        <v>50</v>
      </c>
      <c r="S30" s="7" t="s">
        <v>52</v>
      </c>
      <c r="T30" t="s">
        <v>53</v>
      </c>
      <c r="U30" t="s">
        <v>568</v>
      </c>
      <c r="W30" s="8" t="s">
        <v>283</v>
      </c>
      <c r="X30" s="8" t="s">
        <v>443</v>
      </c>
      <c r="Y30" s="8" t="s">
        <v>441</v>
      </c>
      <c r="Z30">
        <f>14+119+21+8</f>
        <v>162</v>
      </c>
      <c r="AA30">
        <v>351</v>
      </c>
      <c r="AB30" s="19">
        <f t="shared" si="0"/>
        <v>0.46153846153846156</v>
      </c>
      <c r="AC30" t="s">
        <v>118</v>
      </c>
    </row>
    <row r="31" spans="1:29" x14ac:dyDescent="0.25">
      <c r="A31" s="6">
        <v>291</v>
      </c>
      <c r="B31" s="6" t="s">
        <v>188</v>
      </c>
      <c r="C31" s="6" t="s">
        <v>189</v>
      </c>
      <c r="D31" s="6" t="s">
        <v>26</v>
      </c>
      <c r="E31" s="6" t="s">
        <v>14</v>
      </c>
      <c r="F31" s="7">
        <v>2016</v>
      </c>
      <c r="G31" s="7">
        <v>63</v>
      </c>
      <c r="H31" s="7" t="s">
        <v>184</v>
      </c>
      <c r="I31" s="7">
        <v>147</v>
      </c>
      <c r="J31" s="7">
        <v>157</v>
      </c>
      <c r="K31" s="6" t="s">
        <v>15</v>
      </c>
      <c r="L31" t="s">
        <v>523</v>
      </c>
      <c r="M31" s="7" t="s">
        <v>50</v>
      </c>
      <c r="N31" s="7" t="s">
        <v>70</v>
      </c>
      <c r="O31" t="s">
        <v>50</v>
      </c>
      <c r="P31" t="s">
        <v>50</v>
      </c>
      <c r="Q31" t="s">
        <v>50</v>
      </c>
      <c r="R31" t="s">
        <v>50</v>
      </c>
      <c r="S31" s="8" t="s">
        <v>52</v>
      </c>
      <c r="T31" t="s">
        <v>53</v>
      </c>
      <c r="U31" t="s">
        <v>568</v>
      </c>
      <c r="W31" s="8" t="s">
        <v>283</v>
      </c>
      <c r="X31" t="s">
        <v>90</v>
      </c>
      <c r="Y31" s="8" t="s">
        <v>338</v>
      </c>
      <c r="Z31" s="3">
        <f>(100%-11.7%)*AA31</f>
        <v>158.94</v>
      </c>
      <c r="AA31">
        <v>180</v>
      </c>
      <c r="AB31" s="19">
        <f t="shared" si="0"/>
        <v>0.88300000000000001</v>
      </c>
      <c r="AC31" t="s">
        <v>118</v>
      </c>
    </row>
    <row r="32" spans="1:29" x14ac:dyDescent="0.25">
      <c r="A32" s="6">
        <v>596</v>
      </c>
      <c r="B32" s="6" t="s">
        <v>200</v>
      </c>
      <c r="C32" s="6" t="s">
        <v>201</v>
      </c>
      <c r="D32" s="6" t="s">
        <v>26</v>
      </c>
      <c r="E32" s="6" t="s">
        <v>202</v>
      </c>
      <c r="F32" s="7">
        <v>2016</v>
      </c>
      <c r="G32" s="7">
        <v>57</v>
      </c>
      <c r="H32" s="7" t="s">
        <v>184</v>
      </c>
      <c r="I32" s="7">
        <v>52</v>
      </c>
      <c r="J32" s="7">
        <v>59</v>
      </c>
      <c r="K32" s="6" t="s">
        <v>15</v>
      </c>
      <c r="L32" s="8" t="s">
        <v>526</v>
      </c>
      <c r="M32" s="8" t="s">
        <v>126</v>
      </c>
      <c r="N32" s="7" t="s">
        <v>50</v>
      </c>
      <c r="O32" s="7" t="s">
        <v>50</v>
      </c>
      <c r="P32" s="7" t="s">
        <v>50</v>
      </c>
      <c r="Q32" s="7" t="s">
        <v>50</v>
      </c>
      <c r="R32" s="8" t="s">
        <v>51</v>
      </c>
      <c r="S32" t="s">
        <v>52</v>
      </c>
      <c r="T32" t="s">
        <v>53</v>
      </c>
      <c r="U32" t="s">
        <v>568</v>
      </c>
      <c r="W32" s="11" t="s">
        <v>149</v>
      </c>
      <c r="X32" t="s">
        <v>90</v>
      </c>
      <c r="Y32" t="s">
        <v>365</v>
      </c>
      <c r="Z32">
        <v>205</v>
      </c>
      <c r="AA32">
        <v>229</v>
      </c>
      <c r="AB32" s="19">
        <f t="shared" si="0"/>
        <v>0.89519650655021832</v>
      </c>
      <c r="AC32" t="s">
        <v>118</v>
      </c>
    </row>
    <row r="33" spans="1:29" x14ac:dyDescent="0.25">
      <c r="A33" s="6">
        <v>612</v>
      </c>
      <c r="B33" s="6" t="s">
        <v>206</v>
      </c>
      <c r="C33" s="6" t="s">
        <v>207</v>
      </c>
      <c r="D33" s="6" t="s">
        <v>26</v>
      </c>
      <c r="E33" s="6" t="s">
        <v>208</v>
      </c>
      <c r="F33" s="7">
        <v>2016</v>
      </c>
      <c r="G33" s="7">
        <v>6</v>
      </c>
      <c r="H33" s="7" t="s">
        <v>184</v>
      </c>
      <c r="I33" s="7">
        <v>58</v>
      </c>
      <c r="J33" s="7">
        <v>64</v>
      </c>
      <c r="K33" s="6" t="s">
        <v>15</v>
      </c>
      <c r="L33" s="8" t="s">
        <v>529</v>
      </c>
      <c r="M33" s="7" t="s">
        <v>404</v>
      </c>
      <c r="N33" s="7" t="s">
        <v>70</v>
      </c>
      <c r="O33" s="7" t="s">
        <v>50</v>
      </c>
      <c r="P33" s="7" t="s">
        <v>50</v>
      </c>
      <c r="Q33" s="7" t="s">
        <v>50</v>
      </c>
      <c r="R33" s="8" t="s">
        <v>51</v>
      </c>
      <c r="S33" t="s">
        <v>52</v>
      </c>
      <c r="T33" s="8" t="s">
        <v>53</v>
      </c>
      <c r="U33" t="s">
        <v>568</v>
      </c>
      <c r="W33" s="8" t="s">
        <v>376</v>
      </c>
      <c r="X33" s="8" t="s">
        <v>90</v>
      </c>
      <c r="Y33" s="8" t="s">
        <v>373</v>
      </c>
      <c r="Z33" s="3">
        <f>82.9%*AA33</f>
        <v>66.320000000000007</v>
      </c>
      <c r="AA33">
        <v>80</v>
      </c>
      <c r="AB33" s="19">
        <f t="shared" si="0"/>
        <v>0.82900000000000007</v>
      </c>
      <c r="AC33" t="s">
        <v>118</v>
      </c>
    </row>
    <row r="34" spans="1:29" x14ac:dyDescent="0.25">
      <c r="A34" s="6">
        <v>832</v>
      </c>
      <c r="B34" s="6" t="s">
        <v>225</v>
      </c>
      <c r="C34" s="6" t="s">
        <v>226</v>
      </c>
      <c r="D34" s="6" t="s">
        <v>26</v>
      </c>
      <c r="E34" s="6" t="s">
        <v>227</v>
      </c>
      <c r="F34" s="7">
        <v>2016</v>
      </c>
      <c r="G34" s="7">
        <v>79</v>
      </c>
      <c r="H34" s="7">
        <v>9</v>
      </c>
      <c r="I34" s="7">
        <v>1588</v>
      </c>
      <c r="J34" s="7">
        <v>1598</v>
      </c>
      <c r="K34" s="6" t="s">
        <v>15</v>
      </c>
      <c r="L34" s="8" t="s">
        <v>531</v>
      </c>
      <c r="M34" s="6" t="s">
        <v>495</v>
      </c>
      <c r="N34" s="7" t="s">
        <v>70</v>
      </c>
      <c r="O34" s="7" t="s">
        <v>50</v>
      </c>
      <c r="P34" s="7" t="s">
        <v>50</v>
      </c>
      <c r="Q34" s="7" t="s">
        <v>50</v>
      </c>
      <c r="R34" s="7" t="s">
        <v>51</v>
      </c>
      <c r="S34" t="s">
        <v>52</v>
      </c>
      <c r="T34" s="8" t="s">
        <v>53</v>
      </c>
      <c r="U34" t="s">
        <v>568</v>
      </c>
      <c r="W34" s="8" t="s">
        <v>436</v>
      </c>
      <c r="X34" s="8" t="s">
        <v>90</v>
      </c>
      <c r="Y34" s="8" t="s">
        <v>493</v>
      </c>
      <c r="Z34">
        <f>225+159+122</f>
        <v>506</v>
      </c>
      <c r="AA34">
        <f>277+211+156</f>
        <v>644</v>
      </c>
      <c r="AB34" s="19">
        <f t="shared" si="0"/>
        <v>0.7857142857142857</v>
      </c>
      <c r="AC34" t="s">
        <v>118</v>
      </c>
    </row>
    <row r="35" spans="1:29" x14ac:dyDescent="0.25">
      <c r="A35" s="6">
        <v>595</v>
      </c>
      <c r="B35" s="6" t="s">
        <v>198</v>
      </c>
      <c r="C35" s="6" t="s">
        <v>199</v>
      </c>
      <c r="D35" s="6" t="s">
        <v>26</v>
      </c>
      <c r="E35" s="6" t="s">
        <v>180</v>
      </c>
      <c r="F35" s="7">
        <v>2017</v>
      </c>
      <c r="G35" s="7">
        <v>15</v>
      </c>
      <c r="H35" s="7">
        <v>1</v>
      </c>
      <c r="I35" s="7">
        <v>1</v>
      </c>
      <c r="J35" s="7">
        <v>16</v>
      </c>
      <c r="K35" s="6" t="s">
        <v>15</v>
      </c>
      <c r="L35" s="8" t="s">
        <v>525</v>
      </c>
      <c r="M35" s="7" t="s">
        <v>357</v>
      </c>
      <c r="N35" s="7" t="s">
        <v>50</v>
      </c>
      <c r="O35" s="7" t="s">
        <v>50</v>
      </c>
      <c r="P35" s="7" t="s">
        <v>50</v>
      </c>
      <c r="Q35" s="7" t="s">
        <v>50</v>
      </c>
      <c r="R35" s="8" t="s">
        <v>51</v>
      </c>
      <c r="S35" t="s">
        <v>52</v>
      </c>
      <c r="T35" t="s">
        <v>53</v>
      </c>
      <c r="U35" t="s">
        <v>568</v>
      </c>
      <c r="W35" s="11" t="s">
        <v>149</v>
      </c>
      <c r="X35" t="s">
        <v>90</v>
      </c>
      <c r="Y35" t="s">
        <v>364</v>
      </c>
      <c r="Z35">
        <v>70</v>
      </c>
      <c r="AA35">
        <v>75</v>
      </c>
      <c r="AB35" s="19">
        <f t="shared" si="0"/>
        <v>0.93333333333333335</v>
      </c>
      <c r="AC35" t="s">
        <v>118</v>
      </c>
    </row>
    <row r="36" spans="1:29" s="20" customFormat="1" x14ac:dyDescent="0.25">
      <c r="A36" s="20">
        <v>213</v>
      </c>
      <c r="B36" s="20" t="s">
        <v>28</v>
      </c>
      <c r="C36" s="20" t="s">
        <v>29</v>
      </c>
      <c r="D36" s="20" t="s">
        <v>26</v>
      </c>
      <c r="E36" s="20" t="s">
        <v>14</v>
      </c>
      <c r="F36" s="21">
        <v>2013</v>
      </c>
      <c r="G36" s="21">
        <v>31</v>
      </c>
      <c r="H36" s="21">
        <v>2</v>
      </c>
      <c r="I36" s="21">
        <v>474</v>
      </c>
      <c r="J36" s="21">
        <v>481</v>
      </c>
      <c r="K36" s="20" t="s">
        <v>15</v>
      </c>
      <c r="L36" s="20" t="s">
        <v>520</v>
      </c>
      <c r="M36" s="21" t="s">
        <v>92</v>
      </c>
      <c r="N36" s="20" t="s">
        <v>91</v>
      </c>
      <c r="O36" s="20" t="s">
        <v>50</v>
      </c>
      <c r="P36" s="20" t="s">
        <v>50</v>
      </c>
      <c r="Q36" s="20" t="s">
        <v>50</v>
      </c>
      <c r="R36" s="20" t="s">
        <v>51</v>
      </c>
      <c r="S36" s="20" t="s">
        <v>52</v>
      </c>
      <c r="T36" s="20" t="s">
        <v>53</v>
      </c>
      <c r="U36" s="21" t="s">
        <v>574</v>
      </c>
      <c r="V36" s="21"/>
      <c r="W36" s="22" t="s">
        <v>94</v>
      </c>
      <c r="X36" s="20" t="s">
        <v>98</v>
      </c>
      <c r="Y36" s="20" t="s">
        <v>121</v>
      </c>
      <c r="Z36" s="20">
        <v>116</v>
      </c>
      <c r="AA36" s="20">
        <v>193</v>
      </c>
      <c r="AB36" s="26">
        <f t="shared" si="0"/>
        <v>0.60103626943005184</v>
      </c>
      <c r="AC36" s="20" t="s">
        <v>93</v>
      </c>
    </row>
    <row r="37" spans="1:29" s="20" customFormat="1" x14ac:dyDescent="0.25">
      <c r="A37" s="20">
        <v>370</v>
      </c>
      <c r="B37" s="20" t="s">
        <v>190</v>
      </c>
      <c r="C37" s="20" t="s">
        <v>191</v>
      </c>
      <c r="D37" s="20" t="s">
        <v>175</v>
      </c>
      <c r="E37" s="20" t="s">
        <v>192</v>
      </c>
      <c r="F37" s="21">
        <v>2013</v>
      </c>
      <c r="G37" s="21">
        <v>45</v>
      </c>
      <c r="H37" s="21" t="s">
        <v>193</v>
      </c>
      <c r="I37" s="21" t="s">
        <v>194</v>
      </c>
      <c r="J37" s="21" t="s">
        <v>184</v>
      </c>
      <c r="K37" s="20" t="s">
        <v>15</v>
      </c>
      <c r="L37" s="21" t="s">
        <v>524</v>
      </c>
      <c r="M37" s="21" t="s">
        <v>348</v>
      </c>
      <c r="N37" s="21" t="s">
        <v>70</v>
      </c>
      <c r="O37" s="21" t="s">
        <v>51</v>
      </c>
      <c r="P37" s="21" t="s">
        <v>51</v>
      </c>
      <c r="Q37" s="20" t="s">
        <v>50</v>
      </c>
      <c r="R37" s="21" t="s">
        <v>349</v>
      </c>
      <c r="S37" s="21" t="s">
        <v>52</v>
      </c>
      <c r="T37" s="20" t="s">
        <v>53</v>
      </c>
      <c r="U37" s="21" t="s">
        <v>574</v>
      </c>
      <c r="V37" s="21"/>
      <c r="W37" s="21" t="s">
        <v>353</v>
      </c>
      <c r="X37" s="20" t="s">
        <v>90</v>
      </c>
      <c r="Y37" s="21" t="s">
        <v>351</v>
      </c>
      <c r="Z37" s="20">
        <v>5</v>
      </c>
      <c r="AA37" s="20">
        <v>20</v>
      </c>
      <c r="AB37" s="26">
        <f t="shared" si="0"/>
        <v>0.25</v>
      </c>
      <c r="AC37" s="20" t="s">
        <v>84</v>
      </c>
    </row>
    <row r="38" spans="1:29" s="20" customFormat="1" x14ac:dyDescent="0.25">
      <c r="A38" s="20">
        <v>277</v>
      </c>
      <c r="B38" s="20" t="s">
        <v>185</v>
      </c>
      <c r="C38" s="20" t="s">
        <v>186</v>
      </c>
      <c r="D38" s="20" t="s">
        <v>26</v>
      </c>
      <c r="E38" s="20" t="s">
        <v>187</v>
      </c>
      <c r="F38" s="21">
        <v>2015</v>
      </c>
      <c r="G38" s="21">
        <v>7</v>
      </c>
      <c r="H38" s="21" t="s">
        <v>184</v>
      </c>
      <c r="I38" s="21">
        <v>252</v>
      </c>
      <c r="J38" s="21">
        <v>265</v>
      </c>
      <c r="K38" s="20" t="s">
        <v>15</v>
      </c>
      <c r="L38" s="21" t="s">
        <v>522</v>
      </c>
      <c r="M38" s="21" t="s">
        <v>51</v>
      </c>
      <c r="N38" s="21" t="s">
        <v>70</v>
      </c>
      <c r="O38" s="20" t="s">
        <v>50</v>
      </c>
      <c r="P38" s="20" t="s">
        <v>50</v>
      </c>
      <c r="Q38" s="20" t="s">
        <v>50</v>
      </c>
      <c r="R38" s="21" t="s">
        <v>51</v>
      </c>
      <c r="S38" s="21" t="s">
        <v>52</v>
      </c>
      <c r="T38" s="20" t="s">
        <v>53</v>
      </c>
      <c r="U38" s="21" t="s">
        <v>574</v>
      </c>
      <c r="V38" s="21"/>
      <c r="W38" s="21" t="s">
        <v>94</v>
      </c>
      <c r="X38" s="20" t="s">
        <v>90</v>
      </c>
      <c r="Y38" s="21" t="s">
        <v>337</v>
      </c>
      <c r="Z38" s="20">
        <v>58</v>
      </c>
      <c r="AA38" s="20">
        <v>150</v>
      </c>
      <c r="AB38" s="26">
        <f t="shared" si="0"/>
        <v>0.38666666666666666</v>
      </c>
      <c r="AC38" s="20" t="s">
        <v>118</v>
      </c>
    </row>
    <row r="39" spans="1:29" s="20" customFormat="1" x14ac:dyDescent="0.25">
      <c r="A39" s="20">
        <v>923</v>
      </c>
      <c r="B39" s="20" t="s">
        <v>233</v>
      </c>
      <c r="C39" s="20" t="s">
        <v>234</v>
      </c>
      <c r="D39" s="20" t="s">
        <v>26</v>
      </c>
      <c r="E39" s="20" t="s">
        <v>235</v>
      </c>
      <c r="F39" s="21">
        <v>2015</v>
      </c>
      <c r="G39" s="21">
        <v>129</v>
      </c>
      <c r="H39" s="21">
        <v>9</v>
      </c>
      <c r="I39" s="21">
        <v>1278</v>
      </c>
      <c r="J39" s="21">
        <v>1284</v>
      </c>
      <c r="K39" s="20" t="s">
        <v>15</v>
      </c>
      <c r="L39" s="24" t="s">
        <v>534</v>
      </c>
      <c r="M39" s="21" t="s">
        <v>404</v>
      </c>
      <c r="N39" s="21" t="s">
        <v>50</v>
      </c>
      <c r="O39" s="21" t="s">
        <v>50</v>
      </c>
      <c r="P39" s="21" t="s">
        <v>50</v>
      </c>
      <c r="Q39" s="21" t="s">
        <v>50</v>
      </c>
      <c r="R39" s="21" t="s">
        <v>51</v>
      </c>
      <c r="S39" s="21" t="s">
        <v>52</v>
      </c>
      <c r="T39" s="21" t="s">
        <v>53</v>
      </c>
      <c r="U39" s="21" t="s">
        <v>574</v>
      </c>
      <c r="V39" s="21"/>
      <c r="W39" s="20" t="s">
        <v>406</v>
      </c>
      <c r="X39" s="21" t="s">
        <v>90</v>
      </c>
      <c r="Y39" s="21" t="s">
        <v>405</v>
      </c>
      <c r="Z39" s="20">
        <v>22</v>
      </c>
      <c r="AA39" s="20">
        <v>117</v>
      </c>
      <c r="AB39" s="26">
        <f t="shared" si="0"/>
        <v>0.18803418803418803</v>
      </c>
      <c r="AC39" s="20" t="s">
        <v>118</v>
      </c>
    </row>
    <row r="40" spans="1:29" x14ac:dyDescent="0.25">
      <c r="A40" s="6">
        <v>213</v>
      </c>
      <c r="B40" s="6" t="s">
        <v>28</v>
      </c>
      <c r="C40" s="6" t="s">
        <v>29</v>
      </c>
      <c r="D40" s="6" t="s">
        <v>26</v>
      </c>
      <c r="E40" s="6" t="s">
        <v>14</v>
      </c>
      <c r="F40" s="7">
        <v>2013</v>
      </c>
      <c r="G40" s="7">
        <v>31</v>
      </c>
      <c r="H40" s="7">
        <v>2</v>
      </c>
      <c r="I40" s="7">
        <v>474</v>
      </c>
      <c r="J40" s="7">
        <v>481</v>
      </c>
      <c r="K40" t="s">
        <v>15</v>
      </c>
      <c r="L40" t="s">
        <v>520</v>
      </c>
      <c r="M40" s="7" t="s">
        <v>92</v>
      </c>
      <c r="N40" t="s">
        <v>91</v>
      </c>
      <c r="O40" t="s">
        <v>50</v>
      </c>
      <c r="P40" t="s">
        <v>50</v>
      </c>
      <c r="Q40" t="s">
        <v>50</v>
      </c>
      <c r="R40" t="s">
        <v>51</v>
      </c>
      <c r="S40" t="s">
        <v>52</v>
      </c>
      <c r="T40" t="s">
        <v>53</v>
      </c>
      <c r="U40" s="8" t="s">
        <v>580</v>
      </c>
      <c r="V40" s="8"/>
      <c r="W40" s="11" t="s">
        <v>97</v>
      </c>
      <c r="X40" t="s">
        <v>98</v>
      </c>
      <c r="Y40" t="s">
        <v>121</v>
      </c>
      <c r="Z40">
        <v>156</v>
      </c>
      <c r="AA40">
        <v>193</v>
      </c>
      <c r="AB40" s="19">
        <f t="shared" si="0"/>
        <v>0.80829015544041449</v>
      </c>
      <c r="AC40" t="s">
        <v>93</v>
      </c>
    </row>
    <row r="41" spans="1:29" x14ac:dyDescent="0.25">
      <c r="A41" s="6">
        <v>277</v>
      </c>
      <c r="B41" s="6" t="s">
        <v>185</v>
      </c>
      <c r="C41" s="6" t="s">
        <v>186</v>
      </c>
      <c r="D41" s="6" t="s">
        <v>26</v>
      </c>
      <c r="E41" s="6" t="s">
        <v>187</v>
      </c>
      <c r="F41" s="7">
        <v>2015</v>
      </c>
      <c r="G41" s="7">
        <v>7</v>
      </c>
      <c r="H41" s="7" t="s">
        <v>184</v>
      </c>
      <c r="I41" s="7">
        <v>252</v>
      </c>
      <c r="J41" s="7">
        <v>265</v>
      </c>
      <c r="K41" s="6" t="s">
        <v>15</v>
      </c>
      <c r="L41" s="8" t="s">
        <v>522</v>
      </c>
      <c r="M41" s="7" t="s">
        <v>51</v>
      </c>
      <c r="N41" s="7" t="s">
        <v>70</v>
      </c>
      <c r="O41" t="s">
        <v>50</v>
      </c>
      <c r="P41" t="s">
        <v>50</v>
      </c>
      <c r="Q41" t="s">
        <v>50</v>
      </c>
      <c r="R41" s="7" t="s">
        <v>51</v>
      </c>
      <c r="S41" s="8" t="s">
        <v>52</v>
      </c>
      <c r="T41" t="s">
        <v>53</v>
      </c>
      <c r="U41" s="8" t="s">
        <v>580</v>
      </c>
      <c r="V41" s="8"/>
      <c r="W41" s="11" t="s">
        <v>97</v>
      </c>
      <c r="X41" t="s">
        <v>90</v>
      </c>
      <c r="Y41" s="8" t="s">
        <v>337</v>
      </c>
      <c r="Z41">
        <v>69</v>
      </c>
      <c r="AA41">
        <v>150</v>
      </c>
      <c r="AB41" s="19">
        <f t="shared" si="0"/>
        <v>0.46</v>
      </c>
      <c r="AC41" t="s">
        <v>118</v>
      </c>
    </row>
    <row r="42" spans="1:29" x14ac:dyDescent="0.25">
      <c r="A42" s="6">
        <v>923</v>
      </c>
      <c r="B42" s="6" t="s">
        <v>233</v>
      </c>
      <c r="C42" s="6" t="s">
        <v>234</v>
      </c>
      <c r="D42" s="6" t="s">
        <v>26</v>
      </c>
      <c r="E42" s="6" t="s">
        <v>235</v>
      </c>
      <c r="F42" s="7">
        <v>2015</v>
      </c>
      <c r="G42" s="7">
        <v>129</v>
      </c>
      <c r="H42" s="7">
        <v>9</v>
      </c>
      <c r="I42" s="7">
        <v>1278</v>
      </c>
      <c r="J42" s="7">
        <v>1284</v>
      </c>
      <c r="K42" s="6" t="s">
        <v>15</v>
      </c>
      <c r="L42" s="9" t="s">
        <v>534</v>
      </c>
      <c r="M42" s="7" t="s">
        <v>404</v>
      </c>
      <c r="N42" s="7" t="s">
        <v>50</v>
      </c>
      <c r="O42" s="7" t="s">
        <v>50</v>
      </c>
      <c r="P42" s="7" t="s">
        <v>50</v>
      </c>
      <c r="Q42" s="7" t="s">
        <v>50</v>
      </c>
      <c r="R42" s="8" t="s">
        <v>51</v>
      </c>
      <c r="S42" s="7" t="s">
        <v>52</v>
      </c>
      <c r="T42" s="8" t="s">
        <v>53</v>
      </c>
      <c r="U42" s="8" t="s">
        <v>580</v>
      </c>
      <c r="V42" s="8"/>
      <c r="W42" s="8" t="s">
        <v>410</v>
      </c>
      <c r="X42" s="8" t="s">
        <v>90</v>
      </c>
      <c r="Y42" s="8" t="s">
        <v>405</v>
      </c>
      <c r="Z42">
        <v>31</v>
      </c>
      <c r="AA42">
        <v>117</v>
      </c>
      <c r="AB42" s="19">
        <f t="shared" si="0"/>
        <v>0.26495726495726496</v>
      </c>
      <c r="AC42" t="s">
        <v>118</v>
      </c>
    </row>
    <row r="43" spans="1:29" s="20" customFormat="1" x14ac:dyDescent="0.25">
      <c r="A43" s="20">
        <v>77</v>
      </c>
      <c r="B43" s="20" t="s">
        <v>24</v>
      </c>
      <c r="C43" s="20" t="s">
        <v>25</v>
      </c>
      <c r="D43" s="20" t="s">
        <v>26</v>
      </c>
      <c r="E43" s="20" t="s">
        <v>27</v>
      </c>
      <c r="F43" s="21">
        <v>2007</v>
      </c>
      <c r="G43" s="21">
        <v>98</v>
      </c>
      <c r="H43" s="21">
        <v>4</v>
      </c>
      <c r="I43" s="21">
        <v>344</v>
      </c>
      <c r="J43" s="21">
        <v>348</v>
      </c>
      <c r="K43" s="20" t="s">
        <v>15</v>
      </c>
      <c r="L43" s="20" t="s">
        <v>516</v>
      </c>
      <c r="M43" s="20" t="s">
        <v>49</v>
      </c>
      <c r="N43" s="20" t="s">
        <v>48</v>
      </c>
      <c r="O43" s="20" t="s">
        <v>50</v>
      </c>
      <c r="P43" s="20" t="s">
        <v>50</v>
      </c>
      <c r="Q43" s="20" t="s">
        <v>50</v>
      </c>
      <c r="R43" s="20" t="s">
        <v>51</v>
      </c>
      <c r="S43" s="20" t="s">
        <v>52</v>
      </c>
      <c r="T43" s="20" t="s">
        <v>53</v>
      </c>
      <c r="U43" s="20" t="s">
        <v>569</v>
      </c>
      <c r="W43" s="22" t="s">
        <v>62</v>
      </c>
      <c r="X43" s="20" t="s">
        <v>90</v>
      </c>
      <c r="Y43" s="20" t="s">
        <v>119</v>
      </c>
      <c r="Z43" s="25">
        <f>100-35</f>
        <v>65</v>
      </c>
      <c r="AA43" s="20">
        <v>100</v>
      </c>
      <c r="AB43" s="26">
        <f t="shared" si="0"/>
        <v>0.65</v>
      </c>
      <c r="AC43" s="20" t="s">
        <v>118</v>
      </c>
    </row>
    <row r="44" spans="1:29" s="20" customFormat="1" x14ac:dyDescent="0.25">
      <c r="A44" s="20">
        <v>79</v>
      </c>
      <c r="B44" s="20" t="s">
        <v>12</v>
      </c>
      <c r="C44" s="20" t="s">
        <v>13</v>
      </c>
      <c r="E44" s="20" t="s">
        <v>14</v>
      </c>
      <c r="F44" s="21">
        <v>2010</v>
      </c>
      <c r="G44" s="21">
        <v>21</v>
      </c>
      <c r="H44" s="21">
        <v>10</v>
      </c>
      <c r="I44" s="21">
        <v>1318</v>
      </c>
      <c r="J44" s="21">
        <v>1321</v>
      </c>
      <c r="K44" s="20" t="s">
        <v>15</v>
      </c>
      <c r="L44" s="24" t="s">
        <v>517</v>
      </c>
      <c r="M44" s="21" t="s">
        <v>69</v>
      </c>
      <c r="N44" s="20" t="s">
        <v>70</v>
      </c>
      <c r="O44" s="20" t="s">
        <v>50</v>
      </c>
      <c r="P44" s="20" t="s">
        <v>50</v>
      </c>
      <c r="Q44" s="20" t="s">
        <v>484</v>
      </c>
      <c r="R44" s="20" t="s">
        <v>51</v>
      </c>
      <c r="S44" s="20" t="s">
        <v>52</v>
      </c>
      <c r="T44" s="20" t="s">
        <v>53</v>
      </c>
      <c r="U44" s="20" t="s">
        <v>569</v>
      </c>
      <c r="W44" s="22" t="s">
        <v>75</v>
      </c>
      <c r="X44" s="20" t="s">
        <v>90</v>
      </c>
      <c r="Y44" s="20" t="s">
        <v>120</v>
      </c>
      <c r="Z44" s="20">
        <v>53</v>
      </c>
      <c r="AA44" s="20">
        <v>74</v>
      </c>
      <c r="AB44" s="26">
        <f t="shared" si="0"/>
        <v>0.71621621621621623</v>
      </c>
      <c r="AC44" s="20" t="s">
        <v>118</v>
      </c>
    </row>
    <row r="45" spans="1:29" s="20" customFormat="1" x14ac:dyDescent="0.25">
      <c r="A45" s="20">
        <v>116</v>
      </c>
      <c r="B45" s="20" t="s">
        <v>169</v>
      </c>
      <c r="C45" s="20" t="s">
        <v>170</v>
      </c>
      <c r="E45" s="20" t="s">
        <v>171</v>
      </c>
      <c r="F45" s="21">
        <v>2011</v>
      </c>
      <c r="G45" s="21">
        <v>41</v>
      </c>
      <c r="H45" s="21">
        <v>5</v>
      </c>
      <c r="I45" s="21">
        <v>713</v>
      </c>
      <c r="J45" s="21">
        <v>717</v>
      </c>
      <c r="K45" s="20" t="s">
        <v>15</v>
      </c>
      <c r="L45" s="24" t="s">
        <v>518</v>
      </c>
      <c r="M45" s="21" t="s">
        <v>50</v>
      </c>
      <c r="N45" s="21" t="s">
        <v>277</v>
      </c>
      <c r="O45" s="20" t="s">
        <v>50</v>
      </c>
      <c r="P45" s="20" t="s">
        <v>50</v>
      </c>
      <c r="Q45" s="20" t="s">
        <v>50</v>
      </c>
      <c r="R45" s="20" t="s">
        <v>50</v>
      </c>
      <c r="S45" s="20" t="s">
        <v>52</v>
      </c>
      <c r="T45" s="20" t="s">
        <v>53</v>
      </c>
      <c r="U45" s="20" t="s">
        <v>569</v>
      </c>
      <c r="W45" s="21" t="s">
        <v>284</v>
      </c>
      <c r="X45" s="20" t="s">
        <v>90</v>
      </c>
      <c r="Y45" s="22" t="s">
        <v>278</v>
      </c>
      <c r="Z45" s="20">
        <f>90-14</f>
        <v>76</v>
      </c>
      <c r="AA45" s="20">
        <v>90</v>
      </c>
      <c r="AB45" s="26">
        <f t="shared" si="0"/>
        <v>0.84444444444444444</v>
      </c>
      <c r="AC45" s="20" t="s">
        <v>118</v>
      </c>
    </row>
    <row r="46" spans="1:29" s="20" customFormat="1" x14ac:dyDescent="0.25">
      <c r="A46" s="20">
        <v>1149</v>
      </c>
      <c r="B46" s="20" t="s">
        <v>252</v>
      </c>
      <c r="C46" s="20" t="s">
        <v>253</v>
      </c>
      <c r="D46" s="20" t="s">
        <v>26</v>
      </c>
      <c r="E46" s="20" t="s">
        <v>172</v>
      </c>
      <c r="F46" s="21">
        <v>2011</v>
      </c>
      <c r="G46" s="21">
        <v>1</v>
      </c>
      <c r="H46" s="21" t="s">
        <v>254</v>
      </c>
      <c r="I46" s="21" t="s">
        <v>255</v>
      </c>
      <c r="J46" s="21" t="s">
        <v>256</v>
      </c>
      <c r="K46" s="20" t="s">
        <v>15</v>
      </c>
      <c r="L46" s="21" t="s">
        <v>538</v>
      </c>
      <c r="M46" s="21" t="s">
        <v>70</v>
      </c>
      <c r="N46" s="21" t="s">
        <v>70</v>
      </c>
      <c r="O46" s="21" t="s">
        <v>70</v>
      </c>
      <c r="P46" s="21" t="s">
        <v>70</v>
      </c>
      <c r="Q46" s="21" t="s">
        <v>50</v>
      </c>
      <c r="R46" s="21" t="s">
        <v>471</v>
      </c>
      <c r="S46" s="21" t="s">
        <v>52</v>
      </c>
      <c r="T46" s="21" t="s">
        <v>53</v>
      </c>
      <c r="U46" s="21" t="s">
        <v>569</v>
      </c>
      <c r="V46" s="21"/>
      <c r="W46" s="21" t="s">
        <v>475</v>
      </c>
      <c r="X46" s="21" t="s">
        <v>90</v>
      </c>
      <c r="Y46" s="20" t="s">
        <v>55</v>
      </c>
      <c r="Z46" s="25">
        <f>45%*AA46</f>
        <v>51.75</v>
      </c>
      <c r="AA46" s="20">
        <v>115</v>
      </c>
      <c r="AB46" s="26">
        <f t="shared" si="0"/>
        <v>0.45</v>
      </c>
      <c r="AC46" s="20" t="s">
        <v>476</v>
      </c>
    </row>
    <row r="47" spans="1:29" s="20" customFormat="1" x14ac:dyDescent="0.25">
      <c r="A47" s="20">
        <v>229</v>
      </c>
      <c r="B47" s="20" t="s">
        <v>181</v>
      </c>
      <c r="C47" s="20" t="s">
        <v>182</v>
      </c>
      <c r="D47" s="20" t="s">
        <v>26</v>
      </c>
      <c r="E47" s="20" t="s">
        <v>183</v>
      </c>
      <c r="F47" s="21">
        <v>2013</v>
      </c>
      <c r="G47" s="21">
        <v>4</v>
      </c>
      <c r="H47" s="21">
        <v>4</v>
      </c>
      <c r="I47" s="21">
        <v>1000140</v>
      </c>
      <c r="J47" s="21" t="s">
        <v>184</v>
      </c>
      <c r="K47" s="20" t="s">
        <v>15</v>
      </c>
      <c r="L47" s="20" t="s">
        <v>521</v>
      </c>
      <c r="M47" s="21" t="s">
        <v>50</v>
      </c>
      <c r="N47" s="21" t="s">
        <v>70</v>
      </c>
      <c r="O47" s="20" t="s">
        <v>50</v>
      </c>
      <c r="P47" s="20" t="s">
        <v>50</v>
      </c>
      <c r="Q47" s="20" t="s">
        <v>50</v>
      </c>
      <c r="R47" s="20" t="s">
        <v>50</v>
      </c>
      <c r="S47" s="21" t="s">
        <v>52</v>
      </c>
      <c r="T47" s="20" t="s">
        <v>53</v>
      </c>
      <c r="U47" s="20" t="s">
        <v>569</v>
      </c>
      <c r="W47" s="21" t="s">
        <v>308</v>
      </c>
      <c r="X47" s="20" t="s">
        <v>90</v>
      </c>
      <c r="Y47" s="21" t="s">
        <v>303</v>
      </c>
      <c r="Z47" s="25">
        <f>40-10</f>
        <v>30</v>
      </c>
      <c r="AA47" s="20">
        <v>40</v>
      </c>
      <c r="AB47" s="26">
        <f t="shared" si="0"/>
        <v>0.75</v>
      </c>
      <c r="AC47" s="20" t="s">
        <v>118</v>
      </c>
    </row>
    <row r="48" spans="1:29" s="20" customFormat="1" x14ac:dyDescent="0.25">
      <c r="A48" s="20">
        <v>1086</v>
      </c>
      <c r="B48" s="20" t="s">
        <v>21</v>
      </c>
      <c r="C48" s="20" t="s">
        <v>22</v>
      </c>
      <c r="E48" s="20" t="s">
        <v>23</v>
      </c>
      <c r="F48" s="21">
        <v>2014</v>
      </c>
      <c r="G48" s="21">
        <v>71</v>
      </c>
      <c r="H48" s="21">
        <v>4</v>
      </c>
      <c r="I48" s="21">
        <v>265</v>
      </c>
      <c r="J48" s="21">
        <v>269</v>
      </c>
      <c r="K48" s="20" t="s">
        <v>15</v>
      </c>
      <c r="L48" s="21" t="s">
        <v>537</v>
      </c>
      <c r="M48" s="20" t="s">
        <v>50</v>
      </c>
      <c r="N48" s="20" t="s">
        <v>109</v>
      </c>
      <c r="O48" s="20" t="s">
        <v>50</v>
      </c>
      <c r="P48" s="20" t="s">
        <v>50</v>
      </c>
      <c r="Q48" s="20" t="s">
        <v>50</v>
      </c>
      <c r="R48" s="20" t="s">
        <v>50</v>
      </c>
      <c r="S48" s="20" t="s">
        <v>52</v>
      </c>
      <c r="T48" s="20" t="s">
        <v>53</v>
      </c>
      <c r="U48" s="21" t="s">
        <v>569</v>
      </c>
      <c r="V48" s="21"/>
      <c r="W48" s="22" t="s">
        <v>62</v>
      </c>
      <c r="X48" s="20" t="s">
        <v>90</v>
      </c>
      <c r="Y48" s="20" t="s">
        <v>110</v>
      </c>
      <c r="Z48" s="20">
        <v>109</v>
      </c>
      <c r="AA48" s="20">
        <v>124</v>
      </c>
      <c r="AB48" s="26">
        <f t="shared" si="0"/>
        <v>0.87903225806451613</v>
      </c>
      <c r="AC48" s="20" t="s">
        <v>118</v>
      </c>
    </row>
    <row r="49" spans="1:29" s="20" customFormat="1" x14ac:dyDescent="0.25">
      <c r="A49" s="20">
        <v>597</v>
      </c>
      <c r="B49" s="20" t="s">
        <v>122</v>
      </c>
      <c r="C49" s="20" t="s">
        <v>123</v>
      </c>
      <c r="D49" s="20" t="s">
        <v>26</v>
      </c>
      <c r="E49" s="20" t="s">
        <v>124</v>
      </c>
      <c r="F49" s="21">
        <v>2015</v>
      </c>
      <c r="G49" s="21">
        <v>18</v>
      </c>
      <c r="H49" s="21">
        <v>5</v>
      </c>
      <c r="I49" s="21">
        <v>454</v>
      </c>
      <c r="J49" s="21">
        <v>469</v>
      </c>
      <c r="K49" s="20" t="s">
        <v>15</v>
      </c>
      <c r="L49" s="21" t="s">
        <v>527</v>
      </c>
      <c r="M49" s="20" t="s">
        <v>126</v>
      </c>
      <c r="N49" s="20" t="s">
        <v>125</v>
      </c>
      <c r="O49" s="20" t="s">
        <v>50</v>
      </c>
      <c r="P49" s="20" t="s">
        <v>50</v>
      </c>
      <c r="Q49" s="20" t="s">
        <v>50</v>
      </c>
      <c r="R49" s="20" t="s">
        <v>51</v>
      </c>
      <c r="S49" s="20" t="s">
        <v>52</v>
      </c>
      <c r="T49" s="20" t="s">
        <v>53</v>
      </c>
      <c r="U49" s="20" t="s">
        <v>569</v>
      </c>
      <c r="W49" s="22" t="s">
        <v>151</v>
      </c>
      <c r="X49" s="20" t="s">
        <v>90</v>
      </c>
      <c r="Y49" s="20" t="s">
        <v>127</v>
      </c>
      <c r="Z49" s="20">
        <v>75</v>
      </c>
      <c r="AA49" s="20">
        <v>110</v>
      </c>
      <c r="AB49" s="26">
        <f t="shared" si="0"/>
        <v>0.68181818181818177</v>
      </c>
      <c r="AC49" s="20" t="s">
        <v>118</v>
      </c>
    </row>
    <row r="50" spans="1:29" s="20" customFormat="1" x14ac:dyDescent="0.25">
      <c r="A50" s="20">
        <v>291</v>
      </c>
      <c r="B50" s="20" t="s">
        <v>188</v>
      </c>
      <c r="C50" s="20" t="s">
        <v>189</v>
      </c>
      <c r="D50" s="20" t="s">
        <v>26</v>
      </c>
      <c r="E50" s="20" t="s">
        <v>14</v>
      </c>
      <c r="F50" s="21">
        <v>2016</v>
      </c>
      <c r="G50" s="21">
        <v>63</v>
      </c>
      <c r="H50" s="21" t="s">
        <v>184</v>
      </c>
      <c r="I50" s="21">
        <v>147</v>
      </c>
      <c r="J50" s="21">
        <v>157</v>
      </c>
      <c r="K50" s="20" t="s">
        <v>15</v>
      </c>
      <c r="L50" s="20" t="s">
        <v>523</v>
      </c>
      <c r="M50" s="21" t="s">
        <v>50</v>
      </c>
      <c r="N50" s="21" t="s">
        <v>70</v>
      </c>
      <c r="O50" s="20" t="s">
        <v>50</v>
      </c>
      <c r="P50" s="20" t="s">
        <v>50</v>
      </c>
      <c r="Q50" s="20" t="s">
        <v>50</v>
      </c>
      <c r="R50" s="20" t="s">
        <v>50</v>
      </c>
      <c r="S50" s="21" t="s">
        <v>52</v>
      </c>
      <c r="T50" s="20" t="s">
        <v>53</v>
      </c>
      <c r="U50" s="20" t="s">
        <v>569</v>
      </c>
      <c r="W50" s="21" t="s">
        <v>284</v>
      </c>
      <c r="X50" s="20" t="s">
        <v>90</v>
      </c>
      <c r="Y50" s="21" t="s">
        <v>338</v>
      </c>
      <c r="Z50" s="25">
        <f>(100%-6.7%)*AA50</f>
        <v>167.00700000000001</v>
      </c>
      <c r="AA50" s="20">
        <v>179</v>
      </c>
      <c r="AB50" s="26">
        <f t="shared" si="0"/>
        <v>0.93300000000000005</v>
      </c>
      <c r="AC50" s="20" t="s">
        <v>118</v>
      </c>
    </row>
    <row r="51" spans="1:29" s="20" customFormat="1" x14ac:dyDescent="0.25">
      <c r="A51" s="20">
        <v>596</v>
      </c>
      <c r="B51" s="20" t="s">
        <v>200</v>
      </c>
      <c r="C51" s="20" t="s">
        <v>201</v>
      </c>
      <c r="D51" s="20" t="s">
        <v>26</v>
      </c>
      <c r="E51" s="20" t="s">
        <v>202</v>
      </c>
      <c r="F51" s="21">
        <v>2016</v>
      </c>
      <c r="G51" s="21">
        <v>57</v>
      </c>
      <c r="H51" s="21" t="s">
        <v>184</v>
      </c>
      <c r="I51" s="21">
        <v>52</v>
      </c>
      <c r="J51" s="21">
        <v>59</v>
      </c>
      <c r="K51" s="20" t="s">
        <v>15</v>
      </c>
      <c r="L51" s="21" t="s">
        <v>526</v>
      </c>
      <c r="M51" s="21" t="s">
        <v>126</v>
      </c>
      <c r="N51" s="21" t="s">
        <v>50</v>
      </c>
      <c r="O51" s="21" t="s">
        <v>50</v>
      </c>
      <c r="P51" s="21" t="s">
        <v>50</v>
      </c>
      <c r="Q51" s="21" t="s">
        <v>50</v>
      </c>
      <c r="R51" s="21" t="s">
        <v>51</v>
      </c>
      <c r="S51" s="20" t="s">
        <v>52</v>
      </c>
      <c r="T51" s="20" t="s">
        <v>53</v>
      </c>
      <c r="U51" s="20" t="s">
        <v>569</v>
      </c>
      <c r="W51" s="22" t="s">
        <v>151</v>
      </c>
      <c r="X51" s="20" t="s">
        <v>90</v>
      </c>
      <c r="Y51" s="20" t="s">
        <v>365</v>
      </c>
      <c r="Z51" s="20">
        <v>160</v>
      </c>
      <c r="AA51" s="20">
        <v>229</v>
      </c>
      <c r="AB51" s="26">
        <f t="shared" si="0"/>
        <v>0.69868995633187769</v>
      </c>
      <c r="AC51" s="20" t="s">
        <v>118</v>
      </c>
    </row>
    <row r="52" spans="1:29" s="20" customFormat="1" x14ac:dyDescent="0.25">
      <c r="A52" s="20">
        <v>612</v>
      </c>
      <c r="B52" s="20" t="s">
        <v>206</v>
      </c>
      <c r="C52" s="20" t="s">
        <v>207</v>
      </c>
      <c r="D52" s="20" t="s">
        <v>26</v>
      </c>
      <c r="E52" s="20" t="s">
        <v>208</v>
      </c>
      <c r="F52" s="21">
        <v>2016</v>
      </c>
      <c r="G52" s="21">
        <v>6</v>
      </c>
      <c r="H52" s="21" t="s">
        <v>184</v>
      </c>
      <c r="I52" s="21">
        <v>58</v>
      </c>
      <c r="J52" s="21">
        <v>64</v>
      </c>
      <c r="K52" s="20" t="s">
        <v>15</v>
      </c>
      <c r="L52" s="21" t="s">
        <v>529</v>
      </c>
      <c r="M52" s="21" t="s">
        <v>404</v>
      </c>
      <c r="N52" s="21" t="s">
        <v>70</v>
      </c>
      <c r="O52" s="21" t="s">
        <v>50</v>
      </c>
      <c r="P52" s="21" t="s">
        <v>50</v>
      </c>
      <c r="Q52" s="21" t="s">
        <v>50</v>
      </c>
      <c r="R52" s="21" t="s">
        <v>51</v>
      </c>
      <c r="S52" s="20" t="s">
        <v>52</v>
      </c>
      <c r="T52" s="21" t="s">
        <v>53</v>
      </c>
      <c r="U52" s="20" t="s">
        <v>569</v>
      </c>
      <c r="W52" s="21" t="s">
        <v>375</v>
      </c>
      <c r="X52" s="21" t="s">
        <v>90</v>
      </c>
      <c r="Y52" s="21" t="s">
        <v>373</v>
      </c>
      <c r="Z52" s="25">
        <f>90.3%*AA52</f>
        <v>72.240000000000009</v>
      </c>
      <c r="AA52" s="20">
        <v>80</v>
      </c>
      <c r="AB52" s="26">
        <f t="shared" si="0"/>
        <v>0.90300000000000014</v>
      </c>
      <c r="AC52" s="20" t="s">
        <v>118</v>
      </c>
    </row>
    <row r="53" spans="1:29" s="20" customFormat="1" x14ac:dyDescent="0.25">
      <c r="A53" s="20">
        <v>595</v>
      </c>
      <c r="B53" s="20" t="s">
        <v>198</v>
      </c>
      <c r="C53" s="20" t="s">
        <v>199</v>
      </c>
      <c r="D53" s="20" t="s">
        <v>26</v>
      </c>
      <c r="E53" s="20" t="s">
        <v>180</v>
      </c>
      <c r="F53" s="21">
        <v>2017</v>
      </c>
      <c r="G53" s="21">
        <v>15</v>
      </c>
      <c r="H53" s="21">
        <v>1</v>
      </c>
      <c r="I53" s="21">
        <v>1</v>
      </c>
      <c r="J53" s="21">
        <v>16</v>
      </c>
      <c r="K53" s="20" t="s">
        <v>15</v>
      </c>
      <c r="L53" s="21" t="s">
        <v>525</v>
      </c>
      <c r="M53" s="21" t="s">
        <v>357</v>
      </c>
      <c r="N53" s="21" t="s">
        <v>50</v>
      </c>
      <c r="O53" s="21" t="s">
        <v>50</v>
      </c>
      <c r="P53" s="21" t="s">
        <v>50</v>
      </c>
      <c r="Q53" s="21" t="s">
        <v>50</v>
      </c>
      <c r="R53" s="21" t="s">
        <v>51</v>
      </c>
      <c r="S53" s="20" t="s">
        <v>52</v>
      </c>
      <c r="T53" s="20" t="s">
        <v>53</v>
      </c>
      <c r="U53" s="20" t="s">
        <v>569</v>
      </c>
      <c r="W53" s="22" t="s">
        <v>151</v>
      </c>
      <c r="X53" s="20" t="s">
        <v>90</v>
      </c>
      <c r="Y53" s="20" t="s">
        <v>364</v>
      </c>
      <c r="Z53" s="20">
        <v>66</v>
      </c>
      <c r="AA53" s="20">
        <v>75</v>
      </c>
      <c r="AB53" s="26">
        <f t="shared" si="0"/>
        <v>0.88</v>
      </c>
      <c r="AC53" s="20" t="s">
        <v>118</v>
      </c>
    </row>
    <row r="54" spans="1:29" s="20" customFormat="1" x14ac:dyDescent="0.25">
      <c r="A54" s="20">
        <v>1080</v>
      </c>
      <c r="B54" s="20" t="s">
        <v>239</v>
      </c>
      <c r="C54" s="20" t="s">
        <v>240</v>
      </c>
      <c r="D54" s="20" t="s">
        <v>26</v>
      </c>
      <c r="E54" s="20" t="s">
        <v>202</v>
      </c>
      <c r="F54" s="21">
        <v>2017</v>
      </c>
      <c r="G54" s="21">
        <v>64</v>
      </c>
      <c r="H54" s="21" t="s">
        <v>184</v>
      </c>
      <c r="I54" s="21">
        <v>11</v>
      </c>
      <c r="J54" s="21">
        <v>20</v>
      </c>
      <c r="K54" s="20" t="s">
        <v>15</v>
      </c>
      <c r="L54" s="21" t="s">
        <v>536</v>
      </c>
      <c r="M54" s="21" t="s">
        <v>50</v>
      </c>
      <c r="N54" s="21" t="s">
        <v>50</v>
      </c>
      <c r="O54" s="21" t="s">
        <v>50</v>
      </c>
      <c r="P54" s="21" t="s">
        <v>50</v>
      </c>
      <c r="Q54" s="21" t="s">
        <v>50</v>
      </c>
      <c r="R54" s="21" t="s">
        <v>50</v>
      </c>
      <c r="S54" s="21" t="s">
        <v>52</v>
      </c>
      <c r="T54" s="21" t="s">
        <v>53</v>
      </c>
      <c r="U54" s="21" t="s">
        <v>569</v>
      </c>
      <c r="V54" s="21"/>
      <c r="W54" s="21" t="s">
        <v>465</v>
      </c>
      <c r="X54" s="21" t="s">
        <v>443</v>
      </c>
      <c r="Y54" s="20" t="s">
        <v>394</v>
      </c>
      <c r="Z54" s="20">
        <v>185</v>
      </c>
      <c r="AA54" s="20">
        <v>316</v>
      </c>
      <c r="AB54" s="26">
        <f t="shared" si="0"/>
        <v>0.58544303797468356</v>
      </c>
      <c r="AC54" s="20" t="s">
        <v>118</v>
      </c>
    </row>
    <row r="55" spans="1:29" s="6" customFormat="1" x14ac:dyDescent="0.25">
      <c r="A55" s="6">
        <v>116</v>
      </c>
      <c r="B55" s="6" t="s">
        <v>169</v>
      </c>
      <c r="C55" s="6" t="s">
        <v>170</v>
      </c>
      <c r="E55" s="6" t="s">
        <v>171</v>
      </c>
      <c r="F55" s="7">
        <v>2011</v>
      </c>
      <c r="G55" s="7">
        <v>41</v>
      </c>
      <c r="H55" s="7">
        <v>5</v>
      </c>
      <c r="I55" s="7">
        <v>713</v>
      </c>
      <c r="J55" s="7">
        <v>717</v>
      </c>
      <c r="K55" s="6" t="s">
        <v>15</v>
      </c>
      <c r="L55" s="31" t="s">
        <v>518</v>
      </c>
      <c r="M55" s="7" t="s">
        <v>50</v>
      </c>
      <c r="N55" s="7" t="s">
        <v>277</v>
      </c>
      <c r="O55" s="6" t="s">
        <v>50</v>
      </c>
      <c r="P55" s="6" t="s">
        <v>50</v>
      </c>
      <c r="Q55" s="6" t="s">
        <v>50</v>
      </c>
      <c r="R55" s="6" t="s">
        <v>50</v>
      </c>
      <c r="S55" s="6" t="s">
        <v>52</v>
      </c>
      <c r="T55" s="6" t="s">
        <v>53</v>
      </c>
      <c r="U55" s="6" t="s">
        <v>572</v>
      </c>
      <c r="W55" s="7" t="s">
        <v>281</v>
      </c>
      <c r="X55" s="6" t="s">
        <v>90</v>
      </c>
      <c r="Y55" s="18" t="s">
        <v>278</v>
      </c>
      <c r="Z55" s="6">
        <v>78</v>
      </c>
      <c r="AA55" s="6">
        <v>90</v>
      </c>
      <c r="AB55" s="28">
        <f t="shared" si="0"/>
        <v>0.8666666666666667</v>
      </c>
      <c r="AC55" s="6" t="s">
        <v>118</v>
      </c>
    </row>
    <row r="56" spans="1:29" s="6" customFormat="1" x14ac:dyDescent="0.25">
      <c r="A56" s="6">
        <v>213</v>
      </c>
      <c r="B56" s="6" t="s">
        <v>28</v>
      </c>
      <c r="C56" s="6" t="s">
        <v>29</v>
      </c>
      <c r="D56" s="6" t="s">
        <v>26</v>
      </c>
      <c r="E56" s="6" t="s">
        <v>14</v>
      </c>
      <c r="F56" s="7">
        <v>2013</v>
      </c>
      <c r="G56" s="7">
        <v>31</v>
      </c>
      <c r="H56" s="7">
        <v>2</v>
      </c>
      <c r="I56" s="7">
        <v>474</v>
      </c>
      <c r="J56" s="7">
        <v>481</v>
      </c>
      <c r="K56" s="6" t="s">
        <v>15</v>
      </c>
      <c r="L56" s="6" t="s">
        <v>520</v>
      </c>
      <c r="M56" s="7" t="s">
        <v>92</v>
      </c>
      <c r="N56" s="6" t="s">
        <v>91</v>
      </c>
      <c r="O56" s="6" t="s">
        <v>50</v>
      </c>
      <c r="P56" s="6" t="s">
        <v>50</v>
      </c>
      <c r="Q56" s="6" t="s">
        <v>50</v>
      </c>
      <c r="R56" s="6" t="s">
        <v>51</v>
      </c>
      <c r="S56" s="6" t="s">
        <v>52</v>
      </c>
      <c r="T56" s="6" t="s">
        <v>53</v>
      </c>
      <c r="U56" s="6" t="s">
        <v>572</v>
      </c>
      <c r="W56" s="18" t="s">
        <v>96</v>
      </c>
      <c r="X56" s="6" t="s">
        <v>98</v>
      </c>
      <c r="Y56" s="6" t="s">
        <v>121</v>
      </c>
      <c r="Z56" s="6">
        <v>176</v>
      </c>
      <c r="AA56" s="6">
        <v>193</v>
      </c>
      <c r="AB56" s="28">
        <f t="shared" si="0"/>
        <v>0.91191709844559588</v>
      </c>
      <c r="AC56" s="6" t="s">
        <v>93</v>
      </c>
    </row>
    <row r="57" spans="1:29" s="6" customFormat="1" x14ac:dyDescent="0.25">
      <c r="A57" s="6">
        <v>277</v>
      </c>
      <c r="B57" s="6" t="s">
        <v>185</v>
      </c>
      <c r="C57" s="6" t="s">
        <v>186</v>
      </c>
      <c r="D57" s="6" t="s">
        <v>26</v>
      </c>
      <c r="E57" s="6" t="s">
        <v>187</v>
      </c>
      <c r="F57" s="7">
        <v>2015</v>
      </c>
      <c r="G57" s="7">
        <v>7</v>
      </c>
      <c r="H57" s="7" t="s">
        <v>184</v>
      </c>
      <c r="I57" s="7">
        <v>252</v>
      </c>
      <c r="J57" s="7">
        <v>265</v>
      </c>
      <c r="K57" s="6" t="s">
        <v>15</v>
      </c>
      <c r="L57" s="7" t="s">
        <v>522</v>
      </c>
      <c r="M57" s="7" t="s">
        <v>51</v>
      </c>
      <c r="N57" s="7" t="s">
        <v>70</v>
      </c>
      <c r="O57" s="6" t="s">
        <v>50</v>
      </c>
      <c r="P57" s="6" t="s">
        <v>50</v>
      </c>
      <c r="Q57" s="6" t="s">
        <v>50</v>
      </c>
      <c r="R57" s="7" t="s">
        <v>51</v>
      </c>
      <c r="S57" s="7" t="s">
        <v>52</v>
      </c>
      <c r="T57" s="6" t="s">
        <v>53</v>
      </c>
      <c r="U57" s="6" t="s">
        <v>572</v>
      </c>
      <c r="W57" s="18" t="s">
        <v>96</v>
      </c>
      <c r="X57" s="6" t="s">
        <v>90</v>
      </c>
      <c r="Y57" s="7" t="s">
        <v>337</v>
      </c>
      <c r="Z57" s="6">
        <v>98</v>
      </c>
      <c r="AA57" s="6">
        <v>150</v>
      </c>
      <c r="AB57" s="28">
        <f t="shared" si="0"/>
        <v>0.65333333333333332</v>
      </c>
      <c r="AC57" s="6" t="s">
        <v>118</v>
      </c>
    </row>
    <row r="58" spans="1:29" s="6" customFormat="1" x14ac:dyDescent="0.25">
      <c r="A58" s="6">
        <v>923</v>
      </c>
      <c r="B58" s="6" t="s">
        <v>233</v>
      </c>
      <c r="C58" s="6" t="s">
        <v>234</v>
      </c>
      <c r="D58" s="6" t="s">
        <v>26</v>
      </c>
      <c r="E58" s="6" t="s">
        <v>235</v>
      </c>
      <c r="F58" s="7">
        <v>2015</v>
      </c>
      <c r="G58" s="7">
        <v>129</v>
      </c>
      <c r="H58" s="7">
        <v>9</v>
      </c>
      <c r="I58" s="7">
        <v>1278</v>
      </c>
      <c r="J58" s="7">
        <v>1284</v>
      </c>
      <c r="K58" s="6" t="s">
        <v>15</v>
      </c>
      <c r="L58" s="31" t="s">
        <v>534</v>
      </c>
      <c r="M58" s="7" t="s">
        <v>404</v>
      </c>
      <c r="N58" s="7" t="s">
        <v>50</v>
      </c>
      <c r="O58" s="7" t="s">
        <v>50</v>
      </c>
      <c r="P58" s="7" t="s">
        <v>50</v>
      </c>
      <c r="Q58" s="7" t="s">
        <v>50</v>
      </c>
      <c r="R58" s="7" t="s">
        <v>51</v>
      </c>
      <c r="S58" s="7" t="s">
        <v>52</v>
      </c>
      <c r="T58" s="7" t="s">
        <v>53</v>
      </c>
      <c r="U58" s="6" t="s">
        <v>572</v>
      </c>
      <c r="W58" s="7" t="s">
        <v>408</v>
      </c>
      <c r="X58" s="7" t="s">
        <v>90</v>
      </c>
      <c r="Y58" s="7" t="s">
        <v>405</v>
      </c>
      <c r="Z58" s="6">
        <v>99</v>
      </c>
      <c r="AA58" s="6">
        <v>117</v>
      </c>
      <c r="AB58" s="28">
        <f t="shared" si="0"/>
        <v>0.84615384615384615</v>
      </c>
      <c r="AC58" s="6" t="s">
        <v>118</v>
      </c>
    </row>
    <row r="59" spans="1:29" s="6" customFormat="1" x14ac:dyDescent="0.25">
      <c r="A59" s="6">
        <v>832</v>
      </c>
      <c r="B59" s="6" t="s">
        <v>225</v>
      </c>
      <c r="C59" s="6" t="s">
        <v>226</v>
      </c>
      <c r="D59" s="6" t="s">
        <v>26</v>
      </c>
      <c r="E59" s="6" t="s">
        <v>227</v>
      </c>
      <c r="F59" s="7">
        <v>2016</v>
      </c>
      <c r="G59" s="7">
        <v>79</v>
      </c>
      <c r="H59" s="7">
        <v>9</v>
      </c>
      <c r="I59" s="7">
        <v>1588</v>
      </c>
      <c r="J59" s="7">
        <v>1598</v>
      </c>
      <c r="K59" s="6" t="s">
        <v>15</v>
      </c>
      <c r="L59" s="7" t="s">
        <v>531</v>
      </c>
      <c r="M59" s="6" t="s">
        <v>495</v>
      </c>
      <c r="N59" s="7" t="s">
        <v>70</v>
      </c>
      <c r="O59" s="7" t="s">
        <v>50</v>
      </c>
      <c r="P59" s="7" t="s">
        <v>50</v>
      </c>
      <c r="Q59" s="7" t="s">
        <v>50</v>
      </c>
      <c r="R59" s="7" t="s">
        <v>51</v>
      </c>
      <c r="S59" s="6" t="s">
        <v>52</v>
      </c>
      <c r="T59" s="7" t="s">
        <v>53</v>
      </c>
      <c r="U59" s="6" t="s">
        <v>572</v>
      </c>
      <c r="W59" s="7" t="s">
        <v>434</v>
      </c>
      <c r="X59" s="7" t="s">
        <v>90</v>
      </c>
      <c r="Y59" s="7" t="s">
        <v>493</v>
      </c>
      <c r="Z59" s="6">
        <f>275+207+156</f>
        <v>638</v>
      </c>
      <c r="AA59" s="6">
        <f>277+211+156</f>
        <v>644</v>
      </c>
      <c r="AB59" s="28">
        <f t="shared" si="0"/>
        <v>0.99068322981366463</v>
      </c>
      <c r="AC59" s="6" t="s">
        <v>118</v>
      </c>
    </row>
    <row r="60" spans="1:29" s="20" customFormat="1" x14ac:dyDescent="0.25">
      <c r="A60" s="20">
        <v>77</v>
      </c>
      <c r="B60" s="20" t="s">
        <v>24</v>
      </c>
      <c r="C60" s="20" t="s">
        <v>25</v>
      </c>
      <c r="D60" s="20" t="s">
        <v>26</v>
      </c>
      <c r="E60" s="20" t="s">
        <v>27</v>
      </c>
      <c r="F60" s="21">
        <v>2007</v>
      </c>
      <c r="G60" s="21">
        <v>98</v>
      </c>
      <c r="H60" s="21">
        <v>4</v>
      </c>
      <c r="I60" s="21">
        <v>344</v>
      </c>
      <c r="J60" s="21">
        <v>348</v>
      </c>
      <c r="K60" s="20" t="s">
        <v>15</v>
      </c>
      <c r="L60" s="20" t="s">
        <v>516</v>
      </c>
      <c r="M60" s="20" t="s">
        <v>49</v>
      </c>
      <c r="N60" s="20" t="s">
        <v>48</v>
      </c>
      <c r="O60" s="20" t="s">
        <v>50</v>
      </c>
      <c r="P60" s="20" t="s">
        <v>50</v>
      </c>
      <c r="Q60" s="20" t="s">
        <v>50</v>
      </c>
      <c r="R60" s="20" t="s">
        <v>51</v>
      </c>
      <c r="S60" s="20" t="s">
        <v>52</v>
      </c>
      <c r="T60" s="20" t="s">
        <v>53</v>
      </c>
      <c r="U60" s="22" t="s">
        <v>570</v>
      </c>
      <c r="V60" s="22"/>
      <c r="W60" s="22" t="s">
        <v>63</v>
      </c>
      <c r="X60" s="20" t="s">
        <v>90</v>
      </c>
      <c r="Y60" s="20" t="s">
        <v>119</v>
      </c>
      <c r="Z60" s="25">
        <f>100-34</f>
        <v>66</v>
      </c>
      <c r="AA60" s="20">
        <v>100</v>
      </c>
      <c r="AB60" s="26">
        <f t="shared" si="0"/>
        <v>0.66</v>
      </c>
      <c r="AC60" s="20" t="s">
        <v>118</v>
      </c>
    </row>
    <row r="61" spans="1:29" s="20" customFormat="1" x14ac:dyDescent="0.25">
      <c r="A61" s="20">
        <v>79</v>
      </c>
      <c r="B61" s="20" t="s">
        <v>12</v>
      </c>
      <c r="C61" s="20" t="s">
        <v>13</v>
      </c>
      <c r="E61" s="20" t="s">
        <v>14</v>
      </c>
      <c r="F61" s="21">
        <v>2010</v>
      </c>
      <c r="G61" s="21">
        <v>21</v>
      </c>
      <c r="H61" s="21">
        <v>10</v>
      </c>
      <c r="I61" s="21">
        <v>1318</v>
      </c>
      <c r="J61" s="21">
        <v>1321</v>
      </c>
      <c r="K61" s="20" t="s">
        <v>15</v>
      </c>
      <c r="L61" s="24" t="s">
        <v>517</v>
      </c>
      <c r="M61" s="21" t="s">
        <v>69</v>
      </c>
      <c r="N61" s="20" t="s">
        <v>70</v>
      </c>
      <c r="O61" s="20" t="s">
        <v>50</v>
      </c>
      <c r="P61" s="20" t="s">
        <v>50</v>
      </c>
      <c r="Q61" s="20" t="s">
        <v>484</v>
      </c>
      <c r="R61" s="20" t="s">
        <v>51</v>
      </c>
      <c r="S61" s="20" t="s">
        <v>52</v>
      </c>
      <c r="T61" s="20" t="s">
        <v>53</v>
      </c>
      <c r="U61" s="22" t="s">
        <v>570</v>
      </c>
      <c r="V61" s="22"/>
      <c r="W61" s="20" t="s">
        <v>76</v>
      </c>
      <c r="X61" s="20" t="s">
        <v>90</v>
      </c>
      <c r="Y61" s="20" t="s">
        <v>120</v>
      </c>
      <c r="Z61" s="20">
        <v>51</v>
      </c>
      <c r="AA61" s="20">
        <v>74</v>
      </c>
      <c r="AB61" s="26">
        <f t="shared" si="0"/>
        <v>0.68918918918918914</v>
      </c>
      <c r="AC61" s="20" t="s">
        <v>118</v>
      </c>
    </row>
    <row r="62" spans="1:29" s="20" customFormat="1" x14ac:dyDescent="0.25">
      <c r="A62" s="20">
        <v>116</v>
      </c>
      <c r="B62" s="20" t="s">
        <v>169</v>
      </c>
      <c r="C62" s="20" t="s">
        <v>170</v>
      </c>
      <c r="E62" s="20" t="s">
        <v>171</v>
      </c>
      <c r="F62" s="21">
        <v>2011</v>
      </c>
      <c r="G62" s="21">
        <v>41</v>
      </c>
      <c r="H62" s="21">
        <v>5</v>
      </c>
      <c r="I62" s="21">
        <v>713</v>
      </c>
      <c r="J62" s="21">
        <v>717</v>
      </c>
      <c r="K62" s="20" t="s">
        <v>15</v>
      </c>
      <c r="L62" s="24" t="s">
        <v>518</v>
      </c>
      <c r="M62" s="21" t="s">
        <v>50</v>
      </c>
      <c r="N62" s="21" t="s">
        <v>277</v>
      </c>
      <c r="O62" s="20" t="s">
        <v>50</v>
      </c>
      <c r="P62" s="20" t="s">
        <v>50</v>
      </c>
      <c r="Q62" s="20" t="s">
        <v>50</v>
      </c>
      <c r="R62" s="20" t="s">
        <v>50</v>
      </c>
      <c r="S62" s="20" t="s">
        <v>52</v>
      </c>
      <c r="T62" s="20" t="s">
        <v>53</v>
      </c>
      <c r="U62" s="22" t="s">
        <v>570</v>
      </c>
      <c r="V62" s="22"/>
      <c r="W62" s="21" t="s">
        <v>286</v>
      </c>
      <c r="X62" s="20" t="s">
        <v>90</v>
      </c>
      <c r="Y62" s="22" t="s">
        <v>278</v>
      </c>
      <c r="Z62" s="20">
        <f>90-34</f>
        <v>56</v>
      </c>
      <c r="AA62" s="20">
        <v>90</v>
      </c>
      <c r="AB62" s="26">
        <f t="shared" si="0"/>
        <v>0.62222222222222223</v>
      </c>
      <c r="AC62" s="20" t="s">
        <v>118</v>
      </c>
    </row>
    <row r="63" spans="1:29" s="20" customFormat="1" x14ac:dyDescent="0.25">
      <c r="A63" s="20">
        <v>229</v>
      </c>
      <c r="B63" s="20" t="s">
        <v>181</v>
      </c>
      <c r="C63" s="20" t="s">
        <v>182</v>
      </c>
      <c r="D63" s="20" t="s">
        <v>26</v>
      </c>
      <c r="E63" s="20" t="s">
        <v>183</v>
      </c>
      <c r="F63" s="21">
        <v>2013</v>
      </c>
      <c r="G63" s="21">
        <v>4</v>
      </c>
      <c r="H63" s="21">
        <v>4</v>
      </c>
      <c r="I63" s="21">
        <v>1000140</v>
      </c>
      <c r="J63" s="21" t="s">
        <v>184</v>
      </c>
      <c r="K63" s="20" t="s">
        <v>15</v>
      </c>
      <c r="L63" s="20" t="s">
        <v>521</v>
      </c>
      <c r="M63" s="21" t="s">
        <v>50</v>
      </c>
      <c r="N63" s="21" t="s">
        <v>70</v>
      </c>
      <c r="O63" s="20" t="s">
        <v>50</v>
      </c>
      <c r="P63" s="20" t="s">
        <v>50</v>
      </c>
      <c r="Q63" s="20" t="s">
        <v>50</v>
      </c>
      <c r="R63" s="20" t="s">
        <v>50</v>
      </c>
      <c r="S63" s="21" t="s">
        <v>52</v>
      </c>
      <c r="T63" s="20" t="s">
        <v>53</v>
      </c>
      <c r="U63" s="22" t="s">
        <v>570</v>
      </c>
      <c r="V63" s="22"/>
      <c r="W63" s="21" t="s">
        <v>307</v>
      </c>
      <c r="X63" s="20" t="s">
        <v>90</v>
      </c>
      <c r="Y63" s="21" t="s">
        <v>303</v>
      </c>
      <c r="Z63" s="25">
        <f>40-24</f>
        <v>16</v>
      </c>
      <c r="AA63" s="20">
        <v>40</v>
      </c>
      <c r="AB63" s="26">
        <f t="shared" si="0"/>
        <v>0.4</v>
      </c>
      <c r="AC63" s="20" t="s">
        <v>118</v>
      </c>
    </row>
    <row r="64" spans="1:29" s="20" customFormat="1" x14ac:dyDescent="0.25">
      <c r="A64" s="20">
        <v>1086</v>
      </c>
      <c r="B64" s="20" t="s">
        <v>21</v>
      </c>
      <c r="C64" s="20" t="s">
        <v>22</v>
      </c>
      <c r="E64" s="20" t="s">
        <v>23</v>
      </c>
      <c r="F64" s="21">
        <v>2014</v>
      </c>
      <c r="G64" s="21">
        <v>71</v>
      </c>
      <c r="H64" s="21">
        <v>4</v>
      </c>
      <c r="I64" s="21">
        <v>265</v>
      </c>
      <c r="J64" s="21">
        <v>269</v>
      </c>
      <c r="K64" s="20" t="s">
        <v>15</v>
      </c>
      <c r="L64" s="21" t="s">
        <v>537</v>
      </c>
      <c r="M64" s="20" t="s">
        <v>50</v>
      </c>
      <c r="N64" s="20" t="s">
        <v>109</v>
      </c>
      <c r="O64" s="20" t="s">
        <v>50</v>
      </c>
      <c r="P64" s="20" t="s">
        <v>50</v>
      </c>
      <c r="Q64" s="20" t="s">
        <v>50</v>
      </c>
      <c r="R64" s="20" t="s">
        <v>50</v>
      </c>
      <c r="S64" s="20" t="s">
        <v>52</v>
      </c>
      <c r="T64" s="20" t="s">
        <v>53</v>
      </c>
      <c r="U64" s="22" t="s">
        <v>570</v>
      </c>
      <c r="V64" s="22"/>
      <c r="W64" s="22" t="s">
        <v>63</v>
      </c>
      <c r="X64" s="20" t="s">
        <v>90</v>
      </c>
      <c r="Y64" s="20" t="s">
        <v>110</v>
      </c>
      <c r="Z64" s="20">
        <v>52</v>
      </c>
      <c r="AA64" s="20">
        <v>124</v>
      </c>
      <c r="AB64" s="26">
        <f t="shared" si="0"/>
        <v>0.41935483870967744</v>
      </c>
      <c r="AC64" s="20" t="s">
        <v>118</v>
      </c>
    </row>
    <row r="65" spans="1:29" s="20" customFormat="1" x14ac:dyDescent="0.25">
      <c r="A65" s="20">
        <v>951</v>
      </c>
      <c r="B65" s="20" t="s">
        <v>236</v>
      </c>
      <c r="C65" s="20" t="s">
        <v>237</v>
      </c>
      <c r="D65" s="20" t="s">
        <v>26</v>
      </c>
      <c r="E65" s="20" t="s">
        <v>238</v>
      </c>
      <c r="F65" s="21">
        <v>2015</v>
      </c>
      <c r="G65" s="21">
        <v>5</v>
      </c>
      <c r="H65" s="21">
        <v>2</v>
      </c>
      <c r="I65" s="21">
        <v>157</v>
      </c>
      <c r="J65" s="21">
        <v>161</v>
      </c>
      <c r="K65" s="20" t="s">
        <v>15</v>
      </c>
      <c r="L65" s="21" t="s">
        <v>535</v>
      </c>
      <c r="M65" s="21" t="s">
        <v>50</v>
      </c>
      <c r="N65" s="21" t="s">
        <v>70</v>
      </c>
      <c r="O65" s="21" t="s">
        <v>50</v>
      </c>
      <c r="P65" s="21" t="s">
        <v>50</v>
      </c>
      <c r="Q65" s="21" t="s">
        <v>50</v>
      </c>
      <c r="R65" s="21" t="s">
        <v>50</v>
      </c>
      <c r="S65" s="21" t="s">
        <v>52</v>
      </c>
      <c r="T65" s="20" t="s">
        <v>53</v>
      </c>
      <c r="U65" s="22" t="s">
        <v>570</v>
      </c>
      <c r="V65" s="22"/>
      <c r="W65" s="21" t="s">
        <v>286</v>
      </c>
      <c r="X65" s="21" t="s">
        <v>443</v>
      </c>
      <c r="Y65" s="21" t="s">
        <v>441</v>
      </c>
      <c r="Z65" s="20">
        <v>191</v>
      </c>
      <c r="AA65" s="20">
        <v>351</v>
      </c>
      <c r="AB65" s="26">
        <f t="shared" si="0"/>
        <v>0.54415954415954415</v>
      </c>
      <c r="AC65" s="20" t="s">
        <v>118</v>
      </c>
    </row>
    <row r="66" spans="1:29" s="20" customFormat="1" x14ac:dyDescent="0.25">
      <c r="A66" s="20">
        <v>291</v>
      </c>
      <c r="B66" s="20" t="s">
        <v>188</v>
      </c>
      <c r="C66" s="20" t="s">
        <v>189</v>
      </c>
      <c r="D66" s="20" t="s">
        <v>26</v>
      </c>
      <c r="E66" s="20" t="s">
        <v>14</v>
      </c>
      <c r="F66" s="21">
        <v>2016</v>
      </c>
      <c r="G66" s="21">
        <v>63</v>
      </c>
      <c r="H66" s="21" t="s">
        <v>184</v>
      </c>
      <c r="I66" s="21">
        <v>147</v>
      </c>
      <c r="J66" s="21">
        <v>157</v>
      </c>
      <c r="K66" s="20" t="s">
        <v>15</v>
      </c>
      <c r="L66" s="20" t="s">
        <v>523</v>
      </c>
      <c r="M66" s="21" t="s">
        <v>50</v>
      </c>
      <c r="N66" s="21" t="s">
        <v>70</v>
      </c>
      <c r="O66" s="20" t="s">
        <v>50</v>
      </c>
      <c r="P66" s="20" t="s">
        <v>50</v>
      </c>
      <c r="Q66" s="20" t="s">
        <v>50</v>
      </c>
      <c r="R66" s="20" t="s">
        <v>50</v>
      </c>
      <c r="S66" s="21" t="s">
        <v>52</v>
      </c>
      <c r="T66" s="20" t="s">
        <v>53</v>
      </c>
      <c r="U66" s="22" t="s">
        <v>570</v>
      </c>
      <c r="V66" s="22"/>
      <c r="W66" s="21" t="s">
        <v>286</v>
      </c>
      <c r="X66" s="20" t="s">
        <v>90</v>
      </c>
      <c r="Y66" s="21" t="s">
        <v>338</v>
      </c>
      <c r="Z66" s="25">
        <f>(100%-24.1%)*AA66</f>
        <v>132.066</v>
      </c>
      <c r="AA66" s="20">
        <v>174</v>
      </c>
      <c r="AB66" s="26">
        <f t="shared" ref="AB66:AB129" si="1">Z66/AA66</f>
        <v>0.75900000000000001</v>
      </c>
      <c r="AC66" s="20" t="s">
        <v>118</v>
      </c>
    </row>
    <row r="67" spans="1:29" s="20" customFormat="1" x14ac:dyDescent="0.25">
      <c r="A67" s="20">
        <v>612</v>
      </c>
      <c r="B67" s="20" t="s">
        <v>206</v>
      </c>
      <c r="C67" s="20" t="s">
        <v>207</v>
      </c>
      <c r="D67" s="20" t="s">
        <v>26</v>
      </c>
      <c r="E67" s="20" t="s">
        <v>208</v>
      </c>
      <c r="F67" s="21">
        <v>2016</v>
      </c>
      <c r="G67" s="21">
        <v>6</v>
      </c>
      <c r="H67" s="21" t="s">
        <v>184</v>
      </c>
      <c r="I67" s="21">
        <v>58</v>
      </c>
      <c r="J67" s="21">
        <v>64</v>
      </c>
      <c r="K67" s="20" t="s">
        <v>15</v>
      </c>
      <c r="L67" s="21" t="s">
        <v>529</v>
      </c>
      <c r="M67" s="21" t="s">
        <v>404</v>
      </c>
      <c r="N67" s="21" t="s">
        <v>70</v>
      </c>
      <c r="O67" s="21" t="s">
        <v>50</v>
      </c>
      <c r="P67" s="21" t="s">
        <v>50</v>
      </c>
      <c r="Q67" s="21" t="s">
        <v>50</v>
      </c>
      <c r="R67" s="21" t="s">
        <v>51</v>
      </c>
      <c r="S67" s="20" t="s">
        <v>52</v>
      </c>
      <c r="T67" s="21" t="s">
        <v>53</v>
      </c>
      <c r="U67" s="22" t="s">
        <v>570</v>
      </c>
      <c r="V67" s="22"/>
      <c r="W67" s="21" t="s">
        <v>377</v>
      </c>
      <c r="X67" s="21" t="s">
        <v>90</v>
      </c>
      <c r="Y67" s="21" t="s">
        <v>373</v>
      </c>
      <c r="Z67" s="25">
        <f>82.9%*AA67</f>
        <v>66.320000000000007</v>
      </c>
      <c r="AA67" s="20">
        <v>80</v>
      </c>
      <c r="AB67" s="26">
        <f t="shared" si="1"/>
        <v>0.82900000000000007</v>
      </c>
      <c r="AC67" s="20" t="s">
        <v>118</v>
      </c>
    </row>
    <row r="68" spans="1:29" s="20" customFormat="1" x14ac:dyDescent="0.25">
      <c r="A68" s="20">
        <v>832</v>
      </c>
      <c r="B68" s="20" t="s">
        <v>225</v>
      </c>
      <c r="C68" s="20" t="s">
        <v>226</v>
      </c>
      <c r="D68" s="20" t="s">
        <v>26</v>
      </c>
      <c r="E68" s="20" t="s">
        <v>227</v>
      </c>
      <c r="F68" s="21">
        <v>2016</v>
      </c>
      <c r="G68" s="21">
        <v>79</v>
      </c>
      <c r="H68" s="21">
        <v>9</v>
      </c>
      <c r="I68" s="21">
        <v>1588</v>
      </c>
      <c r="J68" s="21">
        <v>1598</v>
      </c>
      <c r="K68" s="20" t="s">
        <v>15</v>
      </c>
      <c r="L68" s="21" t="s">
        <v>531</v>
      </c>
      <c r="M68" s="20" t="s">
        <v>495</v>
      </c>
      <c r="N68" s="21" t="s">
        <v>70</v>
      </c>
      <c r="O68" s="21" t="s">
        <v>50</v>
      </c>
      <c r="P68" s="21" t="s">
        <v>50</v>
      </c>
      <c r="Q68" s="21" t="s">
        <v>50</v>
      </c>
      <c r="R68" s="21" t="s">
        <v>51</v>
      </c>
      <c r="S68" s="20" t="s">
        <v>52</v>
      </c>
      <c r="T68" s="21" t="s">
        <v>53</v>
      </c>
      <c r="U68" s="22" t="s">
        <v>570</v>
      </c>
      <c r="V68" s="22"/>
      <c r="W68" s="21" t="s">
        <v>435</v>
      </c>
      <c r="X68" s="21" t="s">
        <v>90</v>
      </c>
      <c r="Y68" s="21" t="s">
        <v>493</v>
      </c>
      <c r="Z68" s="20">
        <f>644-(67+59+41)</f>
        <v>477</v>
      </c>
      <c r="AA68" s="20">
        <f>277+211+156</f>
        <v>644</v>
      </c>
      <c r="AB68" s="26">
        <f t="shared" si="1"/>
        <v>0.74068322981366463</v>
      </c>
      <c r="AC68" s="20" t="s">
        <v>118</v>
      </c>
    </row>
    <row r="69" spans="1:29" s="6" customFormat="1" x14ac:dyDescent="0.25">
      <c r="A69" s="6">
        <v>597</v>
      </c>
      <c r="B69" s="6" t="s">
        <v>122</v>
      </c>
      <c r="C69" s="6" t="s">
        <v>123</v>
      </c>
      <c r="D69" s="6" t="s">
        <v>26</v>
      </c>
      <c r="E69" s="6" t="s">
        <v>124</v>
      </c>
      <c r="F69" s="7">
        <v>2015</v>
      </c>
      <c r="G69" s="7">
        <v>18</v>
      </c>
      <c r="H69" s="7">
        <v>5</v>
      </c>
      <c r="I69" s="7">
        <v>454</v>
      </c>
      <c r="J69" s="7">
        <v>469</v>
      </c>
      <c r="K69" s="6" t="s">
        <v>15</v>
      </c>
      <c r="L69" s="7" t="s">
        <v>527</v>
      </c>
      <c r="M69" s="6" t="s">
        <v>126</v>
      </c>
      <c r="N69" s="6" t="s">
        <v>125</v>
      </c>
      <c r="O69" s="6" t="s">
        <v>50</v>
      </c>
      <c r="P69" s="6" t="s">
        <v>50</v>
      </c>
      <c r="Q69" s="6" t="s">
        <v>50</v>
      </c>
      <c r="R69" s="6" t="s">
        <v>51</v>
      </c>
      <c r="S69" s="6" t="s">
        <v>52</v>
      </c>
      <c r="T69" s="6" t="s">
        <v>53</v>
      </c>
      <c r="U69" s="6" t="s">
        <v>579</v>
      </c>
      <c r="W69" s="6" t="s">
        <v>154</v>
      </c>
      <c r="X69" s="6" t="s">
        <v>90</v>
      </c>
      <c r="Y69" s="6" t="s">
        <v>127</v>
      </c>
      <c r="Z69" s="6">
        <v>50</v>
      </c>
      <c r="AA69" s="6">
        <v>110</v>
      </c>
      <c r="AB69" s="28">
        <f t="shared" si="1"/>
        <v>0.45454545454545453</v>
      </c>
      <c r="AC69" s="6" t="s">
        <v>118</v>
      </c>
    </row>
    <row r="70" spans="1:29" s="6" customFormat="1" x14ac:dyDescent="0.25">
      <c r="A70" s="6">
        <v>923</v>
      </c>
      <c r="B70" s="6" t="s">
        <v>233</v>
      </c>
      <c r="C70" s="6" t="s">
        <v>234</v>
      </c>
      <c r="D70" s="6" t="s">
        <v>26</v>
      </c>
      <c r="E70" s="6" t="s">
        <v>235</v>
      </c>
      <c r="F70" s="7">
        <v>2015</v>
      </c>
      <c r="G70" s="7">
        <v>129</v>
      </c>
      <c r="H70" s="7">
        <v>9</v>
      </c>
      <c r="I70" s="7">
        <v>1278</v>
      </c>
      <c r="J70" s="7">
        <v>1284</v>
      </c>
      <c r="K70" s="6" t="s">
        <v>15</v>
      </c>
      <c r="L70" s="31" t="s">
        <v>534</v>
      </c>
      <c r="M70" s="7" t="s">
        <v>404</v>
      </c>
      <c r="N70" s="7" t="s">
        <v>50</v>
      </c>
      <c r="O70" s="7" t="s">
        <v>50</v>
      </c>
      <c r="P70" s="7" t="s">
        <v>50</v>
      </c>
      <c r="Q70" s="7" t="s">
        <v>50</v>
      </c>
      <c r="R70" s="7" t="s">
        <v>51</v>
      </c>
      <c r="S70" s="7" t="s">
        <v>52</v>
      </c>
      <c r="T70" s="7" t="s">
        <v>53</v>
      </c>
      <c r="U70" s="7" t="s">
        <v>579</v>
      </c>
      <c r="V70" s="7"/>
      <c r="W70" s="7" t="s">
        <v>407</v>
      </c>
      <c r="X70" s="7" t="s">
        <v>90</v>
      </c>
      <c r="Y70" s="7" t="s">
        <v>405</v>
      </c>
      <c r="Z70" s="6">
        <v>17</v>
      </c>
      <c r="AA70" s="6">
        <v>117</v>
      </c>
      <c r="AB70" s="28">
        <f t="shared" si="1"/>
        <v>0.14529914529914531</v>
      </c>
      <c r="AC70" s="6" t="s">
        <v>118</v>
      </c>
    </row>
    <row r="71" spans="1:29" s="6" customFormat="1" x14ac:dyDescent="0.25">
      <c r="A71" s="6">
        <v>596</v>
      </c>
      <c r="B71" s="6" t="s">
        <v>200</v>
      </c>
      <c r="C71" s="6" t="s">
        <v>201</v>
      </c>
      <c r="D71" s="6" t="s">
        <v>26</v>
      </c>
      <c r="E71" s="6" t="s">
        <v>202</v>
      </c>
      <c r="F71" s="7">
        <v>2016</v>
      </c>
      <c r="G71" s="7">
        <v>57</v>
      </c>
      <c r="H71" s="7" t="s">
        <v>184</v>
      </c>
      <c r="I71" s="7">
        <v>52</v>
      </c>
      <c r="J71" s="7">
        <v>59</v>
      </c>
      <c r="K71" s="6" t="s">
        <v>15</v>
      </c>
      <c r="L71" s="7" t="s">
        <v>526</v>
      </c>
      <c r="M71" s="7" t="s">
        <v>126</v>
      </c>
      <c r="N71" s="7" t="s">
        <v>50</v>
      </c>
      <c r="O71" s="7" t="s">
        <v>50</v>
      </c>
      <c r="P71" s="7" t="s">
        <v>50</v>
      </c>
      <c r="Q71" s="7" t="s">
        <v>50</v>
      </c>
      <c r="R71" s="7" t="s">
        <v>51</v>
      </c>
      <c r="S71" s="6" t="s">
        <v>52</v>
      </c>
      <c r="T71" s="6" t="s">
        <v>53</v>
      </c>
      <c r="U71" s="6" t="s">
        <v>579</v>
      </c>
      <c r="W71" s="6" t="s">
        <v>154</v>
      </c>
      <c r="X71" s="6" t="s">
        <v>90</v>
      </c>
      <c r="Y71" s="6" t="s">
        <v>365</v>
      </c>
      <c r="Z71" s="6">
        <v>95</v>
      </c>
      <c r="AA71" s="6">
        <v>229</v>
      </c>
      <c r="AB71" s="28">
        <f t="shared" si="1"/>
        <v>0.41484716157205243</v>
      </c>
      <c r="AC71" s="6" t="s">
        <v>118</v>
      </c>
    </row>
    <row r="72" spans="1:29" s="6" customFormat="1" x14ac:dyDescent="0.25">
      <c r="A72" s="6">
        <v>595</v>
      </c>
      <c r="B72" s="6" t="s">
        <v>198</v>
      </c>
      <c r="C72" s="6" t="s">
        <v>199</v>
      </c>
      <c r="D72" s="6" t="s">
        <v>26</v>
      </c>
      <c r="E72" s="6" t="s">
        <v>180</v>
      </c>
      <c r="F72" s="7">
        <v>2017</v>
      </c>
      <c r="G72" s="7">
        <v>15</v>
      </c>
      <c r="H72" s="7">
        <v>1</v>
      </c>
      <c r="I72" s="7">
        <v>1</v>
      </c>
      <c r="J72" s="7">
        <v>16</v>
      </c>
      <c r="K72" s="6" t="s">
        <v>15</v>
      </c>
      <c r="L72" s="7" t="s">
        <v>525</v>
      </c>
      <c r="M72" s="7" t="s">
        <v>357</v>
      </c>
      <c r="N72" s="7" t="s">
        <v>50</v>
      </c>
      <c r="O72" s="7" t="s">
        <v>50</v>
      </c>
      <c r="P72" s="7" t="s">
        <v>50</v>
      </c>
      <c r="Q72" s="7" t="s">
        <v>50</v>
      </c>
      <c r="R72" s="7" t="s">
        <v>51</v>
      </c>
      <c r="S72" s="6" t="s">
        <v>52</v>
      </c>
      <c r="T72" s="6" t="s">
        <v>53</v>
      </c>
      <c r="U72" s="6" t="s">
        <v>579</v>
      </c>
      <c r="W72" s="6" t="s">
        <v>154</v>
      </c>
      <c r="X72" s="6" t="s">
        <v>90</v>
      </c>
      <c r="Y72" s="6" t="s">
        <v>364</v>
      </c>
      <c r="Z72" s="6">
        <v>33</v>
      </c>
      <c r="AA72" s="6">
        <v>75</v>
      </c>
      <c r="AB72" s="28">
        <f t="shared" si="1"/>
        <v>0.44</v>
      </c>
      <c r="AC72" s="6" t="s">
        <v>118</v>
      </c>
    </row>
    <row r="73" spans="1:29" s="20" customFormat="1" x14ac:dyDescent="0.25">
      <c r="A73" s="20">
        <v>597</v>
      </c>
      <c r="B73" s="20" t="s">
        <v>122</v>
      </c>
      <c r="C73" s="20" t="s">
        <v>123</v>
      </c>
      <c r="D73" s="20" t="s">
        <v>26</v>
      </c>
      <c r="E73" s="20" t="s">
        <v>124</v>
      </c>
      <c r="F73" s="21">
        <v>2015</v>
      </c>
      <c r="G73" s="21">
        <v>18</v>
      </c>
      <c r="H73" s="21">
        <v>5</v>
      </c>
      <c r="I73" s="21">
        <v>454</v>
      </c>
      <c r="J73" s="21">
        <v>469</v>
      </c>
      <c r="K73" s="20" t="s">
        <v>15</v>
      </c>
      <c r="L73" s="21" t="s">
        <v>527</v>
      </c>
      <c r="M73" s="20" t="s">
        <v>126</v>
      </c>
      <c r="N73" s="20" t="s">
        <v>125</v>
      </c>
      <c r="O73" s="20" t="s">
        <v>50</v>
      </c>
      <c r="P73" s="20" t="s">
        <v>50</v>
      </c>
      <c r="Q73" s="20" t="s">
        <v>50</v>
      </c>
      <c r="R73" s="20" t="s">
        <v>51</v>
      </c>
      <c r="S73" s="20" t="s">
        <v>52</v>
      </c>
      <c r="T73" s="20" t="s">
        <v>53</v>
      </c>
      <c r="U73" s="20" t="s">
        <v>578</v>
      </c>
      <c r="W73" s="20" t="s">
        <v>153</v>
      </c>
      <c r="X73" s="20" t="s">
        <v>90</v>
      </c>
      <c r="Y73" s="20" t="s">
        <v>127</v>
      </c>
      <c r="Z73" s="20">
        <v>64</v>
      </c>
      <c r="AA73" s="20">
        <v>110</v>
      </c>
      <c r="AB73" s="26">
        <f t="shared" si="1"/>
        <v>0.58181818181818179</v>
      </c>
      <c r="AC73" s="20" t="s">
        <v>118</v>
      </c>
    </row>
    <row r="74" spans="1:29" s="20" customFormat="1" x14ac:dyDescent="0.25">
      <c r="A74" s="20">
        <v>596</v>
      </c>
      <c r="B74" s="20" t="s">
        <v>200</v>
      </c>
      <c r="C74" s="20" t="s">
        <v>201</v>
      </c>
      <c r="D74" s="20" t="s">
        <v>26</v>
      </c>
      <c r="E74" s="20" t="s">
        <v>202</v>
      </c>
      <c r="F74" s="21">
        <v>2016</v>
      </c>
      <c r="G74" s="21">
        <v>57</v>
      </c>
      <c r="H74" s="21" t="s">
        <v>184</v>
      </c>
      <c r="I74" s="21">
        <v>52</v>
      </c>
      <c r="J74" s="21">
        <v>59</v>
      </c>
      <c r="K74" s="20" t="s">
        <v>15</v>
      </c>
      <c r="L74" s="21" t="s">
        <v>526</v>
      </c>
      <c r="M74" s="21" t="s">
        <v>126</v>
      </c>
      <c r="N74" s="21" t="s">
        <v>50</v>
      </c>
      <c r="O74" s="21" t="s">
        <v>50</v>
      </c>
      <c r="P74" s="21" t="s">
        <v>50</v>
      </c>
      <c r="Q74" s="21" t="s">
        <v>50</v>
      </c>
      <c r="R74" s="21" t="s">
        <v>51</v>
      </c>
      <c r="S74" s="20" t="s">
        <v>52</v>
      </c>
      <c r="T74" s="20" t="s">
        <v>53</v>
      </c>
      <c r="U74" s="20" t="s">
        <v>578</v>
      </c>
      <c r="W74" s="20" t="s">
        <v>153</v>
      </c>
      <c r="X74" s="20" t="s">
        <v>90</v>
      </c>
      <c r="Y74" s="20" t="s">
        <v>365</v>
      </c>
      <c r="Z74" s="20">
        <v>122</v>
      </c>
      <c r="AA74" s="20">
        <v>229</v>
      </c>
      <c r="AB74" s="26">
        <f t="shared" si="1"/>
        <v>0.53275109170305679</v>
      </c>
      <c r="AC74" s="20" t="s">
        <v>118</v>
      </c>
    </row>
    <row r="75" spans="1:29" s="20" customFormat="1" x14ac:dyDescent="0.25">
      <c r="A75" s="20">
        <v>595</v>
      </c>
      <c r="B75" s="20" t="s">
        <v>198</v>
      </c>
      <c r="C75" s="20" t="s">
        <v>199</v>
      </c>
      <c r="D75" s="20" t="s">
        <v>26</v>
      </c>
      <c r="E75" s="20" t="s">
        <v>180</v>
      </c>
      <c r="F75" s="21">
        <v>2017</v>
      </c>
      <c r="G75" s="21">
        <v>15</v>
      </c>
      <c r="H75" s="21">
        <v>1</v>
      </c>
      <c r="I75" s="21">
        <v>1</v>
      </c>
      <c r="J75" s="21">
        <v>16</v>
      </c>
      <c r="K75" s="20" t="s">
        <v>15</v>
      </c>
      <c r="L75" s="21" t="s">
        <v>525</v>
      </c>
      <c r="M75" s="21" t="s">
        <v>357</v>
      </c>
      <c r="N75" s="21" t="s">
        <v>50</v>
      </c>
      <c r="O75" s="21" t="s">
        <v>50</v>
      </c>
      <c r="P75" s="21" t="s">
        <v>50</v>
      </c>
      <c r="Q75" s="21" t="s">
        <v>50</v>
      </c>
      <c r="R75" s="21" t="s">
        <v>51</v>
      </c>
      <c r="S75" s="20" t="s">
        <v>52</v>
      </c>
      <c r="T75" s="20" t="s">
        <v>53</v>
      </c>
      <c r="U75" s="20" t="s">
        <v>578</v>
      </c>
      <c r="W75" s="20" t="s">
        <v>153</v>
      </c>
      <c r="X75" s="20" t="s">
        <v>90</v>
      </c>
      <c r="Y75" s="20" t="s">
        <v>364</v>
      </c>
      <c r="Z75" s="20">
        <v>52</v>
      </c>
      <c r="AA75" s="20">
        <v>75</v>
      </c>
      <c r="AB75" s="26">
        <f t="shared" si="1"/>
        <v>0.69333333333333336</v>
      </c>
      <c r="AC75" s="20" t="s">
        <v>118</v>
      </c>
    </row>
    <row r="76" spans="1:29" s="20" customFormat="1" x14ac:dyDescent="0.25">
      <c r="A76" s="20">
        <v>1080</v>
      </c>
      <c r="B76" s="20" t="s">
        <v>239</v>
      </c>
      <c r="C76" s="20" t="s">
        <v>240</v>
      </c>
      <c r="D76" s="20" t="s">
        <v>26</v>
      </c>
      <c r="E76" s="20" t="s">
        <v>202</v>
      </c>
      <c r="F76" s="21">
        <v>2017</v>
      </c>
      <c r="G76" s="21">
        <v>64</v>
      </c>
      <c r="H76" s="21" t="s">
        <v>184</v>
      </c>
      <c r="I76" s="21">
        <v>11</v>
      </c>
      <c r="J76" s="21">
        <v>20</v>
      </c>
      <c r="K76" s="20" t="s">
        <v>15</v>
      </c>
      <c r="L76" s="21" t="s">
        <v>536</v>
      </c>
      <c r="M76" s="21" t="s">
        <v>50</v>
      </c>
      <c r="N76" s="21" t="s">
        <v>50</v>
      </c>
      <c r="O76" s="21" t="s">
        <v>50</v>
      </c>
      <c r="P76" s="21" t="s">
        <v>50</v>
      </c>
      <c r="Q76" s="21" t="s">
        <v>50</v>
      </c>
      <c r="R76" s="21" t="s">
        <v>50</v>
      </c>
      <c r="S76" s="21" t="s">
        <v>52</v>
      </c>
      <c r="T76" s="21" t="s">
        <v>53</v>
      </c>
      <c r="U76" s="21" t="s">
        <v>578</v>
      </c>
      <c r="V76" s="21"/>
      <c r="W76" s="21" t="s">
        <v>153</v>
      </c>
      <c r="X76" s="21" t="s">
        <v>443</v>
      </c>
      <c r="Y76" s="20" t="s">
        <v>394</v>
      </c>
      <c r="Z76" s="20">
        <v>87</v>
      </c>
      <c r="AA76" s="20">
        <v>316</v>
      </c>
      <c r="AB76" s="26">
        <f t="shared" si="1"/>
        <v>0.27531645569620256</v>
      </c>
      <c r="AC76" s="20" t="s">
        <v>118</v>
      </c>
    </row>
    <row r="77" spans="1:29" s="6" customFormat="1" x14ac:dyDescent="0.25">
      <c r="A77" s="6">
        <v>77</v>
      </c>
      <c r="B77" s="6" t="s">
        <v>24</v>
      </c>
      <c r="C77" s="6" t="s">
        <v>25</v>
      </c>
      <c r="D77" s="6" t="s">
        <v>26</v>
      </c>
      <c r="E77" s="6" t="s">
        <v>27</v>
      </c>
      <c r="F77" s="7">
        <v>2007</v>
      </c>
      <c r="G77" s="7">
        <v>98</v>
      </c>
      <c r="H77" s="7">
        <v>4</v>
      </c>
      <c r="I77" s="7">
        <v>344</v>
      </c>
      <c r="J77" s="7">
        <v>348</v>
      </c>
      <c r="K77" s="6" t="s">
        <v>15</v>
      </c>
      <c r="L77" s="6" t="s">
        <v>516</v>
      </c>
      <c r="M77" s="6" t="s">
        <v>49</v>
      </c>
      <c r="N77" s="6" t="s">
        <v>48</v>
      </c>
      <c r="O77" s="6" t="s">
        <v>50</v>
      </c>
      <c r="P77" s="6" t="s">
        <v>50</v>
      </c>
      <c r="Q77" s="6" t="s">
        <v>50</v>
      </c>
      <c r="R77" s="6" t="s">
        <v>51</v>
      </c>
      <c r="S77" s="6" t="s">
        <v>52</v>
      </c>
      <c r="T77" s="6" t="s">
        <v>53</v>
      </c>
      <c r="U77" s="18" t="s">
        <v>571</v>
      </c>
      <c r="V77" s="18"/>
      <c r="W77" s="18" t="s">
        <v>64</v>
      </c>
      <c r="X77" s="6" t="s">
        <v>90</v>
      </c>
      <c r="Y77" s="6" t="s">
        <v>119</v>
      </c>
      <c r="Z77" s="27">
        <f>100-25</f>
        <v>75</v>
      </c>
      <c r="AA77" s="6">
        <v>100</v>
      </c>
      <c r="AB77" s="28">
        <f t="shared" si="1"/>
        <v>0.75</v>
      </c>
      <c r="AC77" s="6" t="s">
        <v>118</v>
      </c>
    </row>
    <row r="78" spans="1:29" s="6" customFormat="1" x14ac:dyDescent="0.25">
      <c r="A78" s="6">
        <v>79</v>
      </c>
      <c r="B78" s="6" t="s">
        <v>12</v>
      </c>
      <c r="C78" s="6" t="s">
        <v>13</v>
      </c>
      <c r="E78" s="6" t="s">
        <v>14</v>
      </c>
      <c r="F78" s="7">
        <v>2010</v>
      </c>
      <c r="G78" s="7">
        <v>21</v>
      </c>
      <c r="H78" s="7">
        <v>10</v>
      </c>
      <c r="I78" s="7">
        <v>1318</v>
      </c>
      <c r="J78" s="7">
        <v>1321</v>
      </c>
      <c r="K78" s="6" t="s">
        <v>15</v>
      </c>
      <c r="L78" s="31" t="s">
        <v>517</v>
      </c>
      <c r="M78" s="7" t="s">
        <v>69</v>
      </c>
      <c r="N78" s="6" t="s">
        <v>70</v>
      </c>
      <c r="O78" s="6" t="s">
        <v>50</v>
      </c>
      <c r="P78" s="6" t="s">
        <v>50</v>
      </c>
      <c r="Q78" s="6" t="s">
        <v>484</v>
      </c>
      <c r="R78" s="6" t="s">
        <v>51</v>
      </c>
      <c r="S78" s="6" t="s">
        <v>52</v>
      </c>
      <c r="T78" s="6" t="s">
        <v>53</v>
      </c>
      <c r="U78" s="18" t="s">
        <v>571</v>
      </c>
      <c r="V78" s="18"/>
      <c r="W78" s="6" t="s">
        <v>77</v>
      </c>
      <c r="X78" s="6" t="s">
        <v>90</v>
      </c>
      <c r="Y78" s="6" t="s">
        <v>120</v>
      </c>
      <c r="Z78" s="6">
        <v>59</v>
      </c>
      <c r="AA78" s="6">
        <v>74</v>
      </c>
      <c r="AB78" s="28">
        <f t="shared" si="1"/>
        <v>0.79729729729729726</v>
      </c>
      <c r="AC78" s="6" t="s">
        <v>118</v>
      </c>
    </row>
    <row r="79" spans="1:29" s="6" customFormat="1" x14ac:dyDescent="0.25">
      <c r="A79" s="6">
        <v>116</v>
      </c>
      <c r="B79" s="6" t="s">
        <v>169</v>
      </c>
      <c r="C79" s="6" t="s">
        <v>170</v>
      </c>
      <c r="E79" s="6" t="s">
        <v>171</v>
      </c>
      <c r="F79" s="7">
        <v>2011</v>
      </c>
      <c r="G79" s="7">
        <v>41</v>
      </c>
      <c r="H79" s="7">
        <v>5</v>
      </c>
      <c r="I79" s="7">
        <v>713</v>
      </c>
      <c r="J79" s="7">
        <v>717</v>
      </c>
      <c r="K79" s="6" t="s">
        <v>15</v>
      </c>
      <c r="L79" s="31" t="s">
        <v>518</v>
      </c>
      <c r="M79" s="7" t="s">
        <v>50</v>
      </c>
      <c r="N79" s="7" t="s">
        <v>277</v>
      </c>
      <c r="O79" s="6" t="s">
        <v>50</v>
      </c>
      <c r="P79" s="6" t="s">
        <v>50</v>
      </c>
      <c r="Q79" s="6" t="s">
        <v>50</v>
      </c>
      <c r="R79" s="6" t="s">
        <v>50</v>
      </c>
      <c r="S79" s="6" t="s">
        <v>52</v>
      </c>
      <c r="T79" s="6" t="s">
        <v>53</v>
      </c>
      <c r="U79" s="18" t="s">
        <v>571</v>
      </c>
      <c r="V79" s="18"/>
      <c r="W79" s="7" t="s">
        <v>287</v>
      </c>
      <c r="X79" s="6" t="s">
        <v>90</v>
      </c>
      <c r="Y79" s="18" t="s">
        <v>278</v>
      </c>
      <c r="Z79" s="6">
        <f>90-19</f>
        <v>71</v>
      </c>
      <c r="AA79" s="6">
        <v>90</v>
      </c>
      <c r="AB79" s="28">
        <f t="shared" si="1"/>
        <v>0.78888888888888886</v>
      </c>
      <c r="AC79" s="6" t="s">
        <v>118</v>
      </c>
    </row>
    <row r="80" spans="1:29" s="6" customFormat="1" x14ac:dyDescent="0.25">
      <c r="A80" s="6">
        <v>1149</v>
      </c>
      <c r="B80" s="6" t="s">
        <v>252</v>
      </c>
      <c r="C80" s="6" t="s">
        <v>253</v>
      </c>
      <c r="D80" s="6" t="s">
        <v>26</v>
      </c>
      <c r="E80" s="6" t="s">
        <v>172</v>
      </c>
      <c r="F80" s="7">
        <v>2011</v>
      </c>
      <c r="G80" s="7">
        <v>1</v>
      </c>
      <c r="H80" s="7" t="s">
        <v>254</v>
      </c>
      <c r="I80" s="7" t="s">
        <v>255</v>
      </c>
      <c r="J80" s="7" t="s">
        <v>256</v>
      </c>
      <c r="K80" s="6" t="s">
        <v>15</v>
      </c>
      <c r="L80" s="7" t="s">
        <v>538</v>
      </c>
      <c r="M80" s="7" t="s">
        <v>70</v>
      </c>
      <c r="N80" s="7" t="s">
        <v>70</v>
      </c>
      <c r="O80" s="7" t="s">
        <v>70</v>
      </c>
      <c r="P80" s="7" t="s">
        <v>70</v>
      </c>
      <c r="Q80" s="7" t="s">
        <v>50</v>
      </c>
      <c r="R80" s="7" t="s">
        <v>471</v>
      </c>
      <c r="S80" s="7" t="s">
        <v>52</v>
      </c>
      <c r="T80" s="7" t="s">
        <v>53</v>
      </c>
      <c r="U80" s="7" t="s">
        <v>571</v>
      </c>
      <c r="V80" s="7"/>
      <c r="W80" s="7" t="s">
        <v>478</v>
      </c>
      <c r="X80" s="7" t="s">
        <v>90</v>
      </c>
      <c r="Y80" s="6" t="s">
        <v>55</v>
      </c>
      <c r="Z80" s="27">
        <f>79%*AA80</f>
        <v>90.850000000000009</v>
      </c>
      <c r="AA80" s="6">
        <v>115</v>
      </c>
      <c r="AB80" s="28">
        <f t="shared" si="1"/>
        <v>0.79</v>
      </c>
      <c r="AC80" s="6" t="s">
        <v>476</v>
      </c>
    </row>
    <row r="81" spans="1:29" s="6" customFormat="1" x14ac:dyDescent="0.25">
      <c r="A81" s="6">
        <v>229</v>
      </c>
      <c r="B81" s="6" t="s">
        <v>181</v>
      </c>
      <c r="C81" s="6" t="s">
        <v>182</v>
      </c>
      <c r="D81" s="6" t="s">
        <v>26</v>
      </c>
      <c r="E81" s="6" t="s">
        <v>183</v>
      </c>
      <c r="F81" s="7">
        <v>2013</v>
      </c>
      <c r="G81" s="7">
        <v>4</v>
      </c>
      <c r="H81" s="7">
        <v>4</v>
      </c>
      <c r="I81" s="7">
        <v>1000140</v>
      </c>
      <c r="J81" s="7" t="s">
        <v>184</v>
      </c>
      <c r="K81" s="6" t="s">
        <v>15</v>
      </c>
      <c r="L81" s="6" t="s">
        <v>521</v>
      </c>
      <c r="M81" s="7" t="s">
        <v>50</v>
      </c>
      <c r="N81" s="7" t="s">
        <v>70</v>
      </c>
      <c r="O81" s="6" t="s">
        <v>50</v>
      </c>
      <c r="P81" s="6" t="s">
        <v>50</v>
      </c>
      <c r="Q81" s="6" t="s">
        <v>50</v>
      </c>
      <c r="R81" s="6" t="s">
        <v>50</v>
      </c>
      <c r="S81" s="7" t="s">
        <v>52</v>
      </c>
      <c r="T81" s="6" t="s">
        <v>53</v>
      </c>
      <c r="U81" s="18" t="s">
        <v>571</v>
      </c>
      <c r="V81" s="18"/>
      <c r="W81" s="7" t="s">
        <v>310</v>
      </c>
      <c r="X81" s="6" t="s">
        <v>90</v>
      </c>
      <c r="Y81" s="7" t="s">
        <v>303</v>
      </c>
      <c r="Z81" s="27">
        <f>40-5</f>
        <v>35</v>
      </c>
      <c r="AA81" s="6">
        <v>40</v>
      </c>
      <c r="AB81" s="28">
        <f t="shared" si="1"/>
        <v>0.875</v>
      </c>
      <c r="AC81" s="6" t="s">
        <v>118</v>
      </c>
    </row>
    <row r="82" spans="1:29" s="6" customFormat="1" x14ac:dyDescent="0.25">
      <c r="A82" s="6">
        <v>1086</v>
      </c>
      <c r="B82" s="6" t="s">
        <v>21</v>
      </c>
      <c r="C82" s="6" t="s">
        <v>22</v>
      </c>
      <c r="E82" s="6" t="s">
        <v>23</v>
      </c>
      <c r="F82" s="7">
        <v>2014</v>
      </c>
      <c r="G82" s="7">
        <v>71</v>
      </c>
      <c r="H82" s="7">
        <v>4</v>
      </c>
      <c r="I82" s="7">
        <v>265</v>
      </c>
      <c r="J82" s="7">
        <v>269</v>
      </c>
      <c r="K82" s="6" t="s">
        <v>15</v>
      </c>
      <c r="L82" s="7" t="s">
        <v>537</v>
      </c>
      <c r="M82" s="6" t="s">
        <v>50</v>
      </c>
      <c r="N82" s="6" t="s">
        <v>109</v>
      </c>
      <c r="O82" s="6" t="s">
        <v>50</v>
      </c>
      <c r="P82" s="6" t="s">
        <v>50</v>
      </c>
      <c r="Q82" s="6" t="s">
        <v>50</v>
      </c>
      <c r="R82" s="6" t="s">
        <v>50</v>
      </c>
      <c r="S82" s="6" t="s">
        <v>52</v>
      </c>
      <c r="T82" s="6" t="s">
        <v>53</v>
      </c>
      <c r="U82" s="18" t="s">
        <v>571</v>
      </c>
      <c r="V82" s="18"/>
      <c r="W82" s="18" t="s">
        <v>64</v>
      </c>
      <c r="X82" s="6" t="s">
        <v>90</v>
      </c>
      <c r="Y82" s="6" t="s">
        <v>110</v>
      </c>
      <c r="Z82" s="6">
        <v>97</v>
      </c>
      <c r="AA82" s="6">
        <v>124</v>
      </c>
      <c r="AB82" s="28">
        <f t="shared" si="1"/>
        <v>0.782258064516129</v>
      </c>
      <c r="AC82" s="6" t="s">
        <v>118</v>
      </c>
    </row>
    <row r="83" spans="1:29" s="6" customFormat="1" x14ac:dyDescent="0.25">
      <c r="A83" s="6">
        <v>597</v>
      </c>
      <c r="B83" s="6" t="s">
        <v>122</v>
      </c>
      <c r="C83" s="6" t="s">
        <v>123</v>
      </c>
      <c r="D83" s="6" t="s">
        <v>26</v>
      </c>
      <c r="E83" s="6" t="s">
        <v>124</v>
      </c>
      <c r="F83" s="7">
        <v>2015</v>
      </c>
      <c r="G83" s="7">
        <v>18</v>
      </c>
      <c r="H83" s="7">
        <v>5</v>
      </c>
      <c r="I83" s="7">
        <v>454</v>
      </c>
      <c r="J83" s="7">
        <v>469</v>
      </c>
      <c r="K83" s="6" t="s">
        <v>15</v>
      </c>
      <c r="L83" s="7" t="s">
        <v>527</v>
      </c>
      <c r="M83" s="6" t="s">
        <v>126</v>
      </c>
      <c r="N83" s="6" t="s">
        <v>125</v>
      </c>
      <c r="O83" s="6" t="s">
        <v>50</v>
      </c>
      <c r="P83" s="6" t="s">
        <v>50</v>
      </c>
      <c r="Q83" s="6" t="s">
        <v>50</v>
      </c>
      <c r="R83" s="6" t="s">
        <v>51</v>
      </c>
      <c r="S83" s="6" t="s">
        <v>52</v>
      </c>
      <c r="T83" s="6" t="s">
        <v>53</v>
      </c>
      <c r="U83" s="18" t="s">
        <v>571</v>
      </c>
      <c r="V83" s="18"/>
      <c r="W83" s="18" t="s">
        <v>152</v>
      </c>
      <c r="X83" s="6" t="s">
        <v>90</v>
      </c>
      <c r="Y83" s="6" t="s">
        <v>127</v>
      </c>
      <c r="Z83" s="6">
        <v>67</v>
      </c>
      <c r="AA83" s="6">
        <v>110</v>
      </c>
      <c r="AB83" s="28">
        <f t="shared" si="1"/>
        <v>0.60909090909090913</v>
      </c>
      <c r="AC83" s="6" t="s">
        <v>118</v>
      </c>
    </row>
    <row r="84" spans="1:29" s="6" customFormat="1" x14ac:dyDescent="0.25">
      <c r="A84" s="6">
        <v>951</v>
      </c>
      <c r="B84" s="6" t="s">
        <v>236</v>
      </c>
      <c r="C84" s="6" t="s">
        <v>237</v>
      </c>
      <c r="D84" s="6" t="s">
        <v>26</v>
      </c>
      <c r="E84" s="6" t="s">
        <v>238</v>
      </c>
      <c r="F84" s="7">
        <v>2015</v>
      </c>
      <c r="G84" s="7">
        <v>5</v>
      </c>
      <c r="H84" s="7">
        <v>2</v>
      </c>
      <c r="I84" s="7">
        <v>157</v>
      </c>
      <c r="J84" s="7">
        <v>161</v>
      </c>
      <c r="K84" s="6" t="s">
        <v>15</v>
      </c>
      <c r="L84" s="7" t="s">
        <v>535</v>
      </c>
      <c r="M84" s="7" t="s">
        <v>50</v>
      </c>
      <c r="N84" s="7" t="s">
        <v>70</v>
      </c>
      <c r="O84" s="7" t="s">
        <v>50</v>
      </c>
      <c r="P84" s="7" t="s">
        <v>50</v>
      </c>
      <c r="Q84" s="7" t="s">
        <v>50</v>
      </c>
      <c r="R84" s="7" t="s">
        <v>50</v>
      </c>
      <c r="S84" s="7" t="s">
        <v>52</v>
      </c>
      <c r="T84" s="6" t="s">
        <v>53</v>
      </c>
      <c r="U84" s="18" t="s">
        <v>571</v>
      </c>
      <c r="V84" s="18"/>
      <c r="W84" s="7" t="s">
        <v>287</v>
      </c>
      <c r="X84" s="7" t="s">
        <v>443</v>
      </c>
      <c r="Y84" s="7" t="s">
        <v>441</v>
      </c>
      <c r="Z84" s="6">
        <v>228</v>
      </c>
      <c r="AA84" s="6">
        <v>351</v>
      </c>
      <c r="AB84" s="28">
        <f t="shared" si="1"/>
        <v>0.6495726495726496</v>
      </c>
      <c r="AC84" s="6" t="s">
        <v>118</v>
      </c>
    </row>
    <row r="85" spans="1:29" s="6" customFormat="1" x14ac:dyDescent="0.25">
      <c r="A85" s="6">
        <v>291</v>
      </c>
      <c r="B85" s="6" t="s">
        <v>188</v>
      </c>
      <c r="C85" s="6" t="s">
        <v>189</v>
      </c>
      <c r="D85" s="6" t="s">
        <v>26</v>
      </c>
      <c r="E85" s="6" t="s">
        <v>14</v>
      </c>
      <c r="F85" s="7">
        <v>2016</v>
      </c>
      <c r="G85" s="7">
        <v>63</v>
      </c>
      <c r="H85" s="7" t="s">
        <v>184</v>
      </c>
      <c r="I85" s="7">
        <v>147</v>
      </c>
      <c r="J85" s="7">
        <v>157</v>
      </c>
      <c r="K85" s="6" t="s">
        <v>15</v>
      </c>
      <c r="L85" s="6" t="s">
        <v>523</v>
      </c>
      <c r="M85" s="7" t="s">
        <v>50</v>
      </c>
      <c r="N85" s="7" t="s">
        <v>70</v>
      </c>
      <c r="O85" s="6" t="s">
        <v>50</v>
      </c>
      <c r="P85" s="6" t="s">
        <v>50</v>
      </c>
      <c r="Q85" s="6" t="s">
        <v>50</v>
      </c>
      <c r="R85" s="6" t="s">
        <v>50</v>
      </c>
      <c r="S85" s="7" t="s">
        <v>52</v>
      </c>
      <c r="T85" s="6" t="s">
        <v>53</v>
      </c>
      <c r="U85" s="18" t="s">
        <v>571</v>
      </c>
      <c r="V85" s="18"/>
      <c r="W85" s="7" t="s">
        <v>287</v>
      </c>
      <c r="X85" s="6" t="s">
        <v>90</v>
      </c>
      <c r="Y85" s="7" t="s">
        <v>338</v>
      </c>
      <c r="Z85" s="27">
        <f>(100%-10.7%)*AA85</f>
        <v>158.06100000000001</v>
      </c>
      <c r="AA85" s="6">
        <v>177</v>
      </c>
      <c r="AB85" s="28">
        <f t="shared" si="1"/>
        <v>0.89300000000000002</v>
      </c>
      <c r="AC85" s="6" t="s">
        <v>118</v>
      </c>
    </row>
    <row r="86" spans="1:29" s="6" customFormat="1" x14ac:dyDescent="0.25">
      <c r="A86" s="6">
        <v>596</v>
      </c>
      <c r="B86" s="6" t="s">
        <v>200</v>
      </c>
      <c r="C86" s="6" t="s">
        <v>201</v>
      </c>
      <c r="D86" s="6" t="s">
        <v>26</v>
      </c>
      <c r="E86" s="6" t="s">
        <v>202</v>
      </c>
      <c r="F86" s="7">
        <v>2016</v>
      </c>
      <c r="G86" s="7">
        <v>57</v>
      </c>
      <c r="H86" s="7" t="s">
        <v>184</v>
      </c>
      <c r="I86" s="7">
        <v>52</v>
      </c>
      <c r="J86" s="7">
        <v>59</v>
      </c>
      <c r="K86" s="6" t="s">
        <v>15</v>
      </c>
      <c r="L86" s="7" t="s">
        <v>526</v>
      </c>
      <c r="M86" s="7" t="s">
        <v>126</v>
      </c>
      <c r="N86" s="7" t="s">
        <v>50</v>
      </c>
      <c r="O86" s="7" t="s">
        <v>50</v>
      </c>
      <c r="P86" s="7" t="s">
        <v>50</v>
      </c>
      <c r="Q86" s="7" t="s">
        <v>50</v>
      </c>
      <c r="R86" s="7" t="s">
        <v>51</v>
      </c>
      <c r="S86" s="6" t="s">
        <v>52</v>
      </c>
      <c r="T86" s="6" t="s">
        <v>53</v>
      </c>
      <c r="U86" s="18" t="s">
        <v>571</v>
      </c>
      <c r="V86" s="18"/>
      <c r="W86" s="18" t="s">
        <v>152</v>
      </c>
      <c r="X86" s="6" t="s">
        <v>90</v>
      </c>
      <c r="Y86" s="6" t="s">
        <v>365</v>
      </c>
      <c r="Z86" s="6">
        <v>164</v>
      </c>
      <c r="AA86" s="6">
        <v>229</v>
      </c>
      <c r="AB86" s="28">
        <f t="shared" si="1"/>
        <v>0.71615720524017468</v>
      </c>
      <c r="AC86" s="6" t="s">
        <v>118</v>
      </c>
    </row>
    <row r="87" spans="1:29" s="6" customFormat="1" ht="14.25" customHeight="1" x14ac:dyDescent="0.25">
      <c r="A87" s="6">
        <v>612</v>
      </c>
      <c r="B87" s="6" t="s">
        <v>206</v>
      </c>
      <c r="C87" s="6" t="s">
        <v>207</v>
      </c>
      <c r="D87" s="6" t="s">
        <v>26</v>
      </c>
      <c r="E87" s="6" t="s">
        <v>208</v>
      </c>
      <c r="F87" s="7">
        <v>2016</v>
      </c>
      <c r="G87" s="7">
        <v>6</v>
      </c>
      <c r="H87" s="7" t="s">
        <v>184</v>
      </c>
      <c r="I87" s="7">
        <v>58</v>
      </c>
      <c r="J87" s="7">
        <v>64</v>
      </c>
      <c r="K87" s="6" t="s">
        <v>15</v>
      </c>
      <c r="L87" s="7" t="s">
        <v>529</v>
      </c>
      <c r="M87" s="7" t="s">
        <v>404</v>
      </c>
      <c r="N87" s="7" t="s">
        <v>70</v>
      </c>
      <c r="O87" s="7" t="s">
        <v>50</v>
      </c>
      <c r="P87" s="7" t="s">
        <v>50</v>
      </c>
      <c r="Q87" s="7" t="s">
        <v>50</v>
      </c>
      <c r="R87" s="7" t="s">
        <v>51</v>
      </c>
      <c r="S87" s="6" t="s">
        <v>52</v>
      </c>
      <c r="T87" s="7" t="s">
        <v>53</v>
      </c>
      <c r="U87" s="18" t="s">
        <v>571</v>
      </c>
      <c r="V87" s="18"/>
      <c r="W87" s="7" t="s">
        <v>378</v>
      </c>
      <c r="X87" s="7" t="s">
        <v>90</v>
      </c>
      <c r="Y87" s="7" t="s">
        <v>373</v>
      </c>
      <c r="Z87" s="27">
        <f>74.4%*AA87</f>
        <v>59.52000000000001</v>
      </c>
      <c r="AA87" s="6">
        <v>80</v>
      </c>
      <c r="AB87" s="28">
        <f t="shared" si="1"/>
        <v>0.74400000000000011</v>
      </c>
      <c r="AC87" s="6" t="s">
        <v>118</v>
      </c>
    </row>
    <row r="88" spans="1:29" s="6" customFormat="1" x14ac:dyDescent="0.25">
      <c r="A88" s="6">
        <v>832</v>
      </c>
      <c r="B88" s="6" t="s">
        <v>225</v>
      </c>
      <c r="C88" s="6" t="s">
        <v>226</v>
      </c>
      <c r="D88" s="6" t="s">
        <v>26</v>
      </c>
      <c r="E88" s="6" t="s">
        <v>227</v>
      </c>
      <c r="F88" s="7">
        <v>2016</v>
      </c>
      <c r="G88" s="7">
        <v>79</v>
      </c>
      <c r="H88" s="7">
        <v>9</v>
      </c>
      <c r="I88" s="7">
        <v>1588</v>
      </c>
      <c r="J88" s="7">
        <v>1598</v>
      </c>
      <c r="K88" s="6" t="s">
        <v>15</v>
      </c>
      <c r="L88" s="7" t="s">
        <v>531</v>
      </c>
      <c r="M88" s="6" t="s">
        <v>495</v>
      </c>
      <c r="N88" s="7" t="s">
        <v>70</v>
      </c>
      <c r="O88" s="7" t="s">
        <v>50</v>
      </c>
      <c r="P88" s="7" t="s">
        <v>50</v>
      </c>
      <c r="Q88" s="7" t="s">
        <v>50</v>
      </c>
      <c r="R88" s="7" t="s">
        <v>51</v>
      </c>
      <c r="S88" s="6" t="s">
        <v>52</v>
      </c>
      <c r="T88" s="7" t="s">
        <v>53</v>
      </c>
      <c r="U88" s="18" t="s">
        <v>571</v>
      </c>
      <c r="V88" s="18"/>
      <c r="W88" s="7" t="s">
        <v>438</v>
      </c>
      <c r="X88" s="7" t="s">
        <v>90</v>
      </c>
      <c r="Y88" s="7" t="s">
        <v>493</v>
      </c>
      <c r="Z88" s="6">
        <f>257+193+145</f>
        <v>595</v>
      </c>
      <c r="AA88" s="6">
        <f>277+211+156</f>
        <v>644</v>
      </c>
      <c r="AB88" s="28">
        <f t="shared" si="1"/>
        <v>0.92391304347826086</v>
      </c>
      <c r="AC88" s="6" t="s">
        <v>118</v>
      </c>
    </row>
    <row r="89" spans="1:29" s="6" customFormat="1" x14ac:dyDescent="0.25">
      <c r="A89" s="6">
        <v>595</v>
      </c>
      <c r="B89" s="6" t="s">
        <v>198</v>
      </c>
      <c r="C89" s="6" t="s">
        <v>199</v>
      </c>
      <c r="D89" s="6" t="s">
        <v>26</v>
      </c>
      <c r="E89" s="6" t="s">
        <v>180</v>
      </c>
      <c r="F89" s="7">
        <v>2017</v>
      </c>
      <c r="G89" s="7">
        <v>15</v>
      </c>
      <c r="H89" s="7">
        <v>1</v>
      </c>
      <c r="I89" s="7">
        <v>1</v>
      </c>
      <c r="J89" s="7">
        <v>16</v>
      </c>
      <c r="K89" s="6" t="s">
        <v>15</v>
      </c>
      <c r="L89" s="7" t="s">
        <v>525</v>
      </c>
      <c r="M89" s="7" t="s">
        <v>357</v>
      </c>
      <c r="N89" s="7" t="s">
        <v>50</v>
      </c>
      <c r="O89" s="7" t="s">
        <v>50</v>
      </c>
      <c r="P89" s="7" t="s">
        <v>50</v>
      </c>
      <c r="Q89" s="7" t="s">
        <v>50</v>
      </c>
      <c r="R89" s="7" t="s">
        <v>51</v>
      </c>
      <c r="S89" s="6" t="s">
        <v>52</v>
      </c>
      <c r="T89" s="6" t="s">
        <v>53</v>
      </c>
      <c r="U89" s="18" t="s">
        <v>571</v>
      </c>
      <c r="V89" s="18"/>
      <c r="W89" s="18" t="s">
        <v>152</v>
      </c>
      <c r="X89" s="6" t="s">
        <v>90</v>
      </c>
      <c r="Y89" s="6" t="s">
        <v>364</v>
      </c>
      <c r="Z89" s="6">
        <v>64</v>
      </c>
      <c r="AA89" s="6">
        <v>75</v>
      </c>
      <c r="AB89" s="28">
        <f t="shared" si="1"/>
        <v>0.85333333333333339</v>
      </c>
      <c r="AC89" s="6" t="s">
        <v>118</v>
      </c>
    </row>
    <row r="90" spans="1:29" s="6" customFormat="1" x14ac:dyDescent="0.25">
      <c r="A90" s="6">
        <v>1080</v>
      </c>
      <c r="B90" s="6" t="s">
        <v>239</v>
      </c>
      <c r="C90" s="6" t="s">
        <v>240</v>
      </c>
      <c r="D90" s="6" t="s">
        <v>26</v>
      </c>
      <c r="E90" s="6" t="s">
        <v>202</v>
      </c>
      <c r="F90" s="7">
        <v>2017</v>
      </c>
      <c r="G90" s="7">
        <v>64</v>
      </c>
      <c r="H90" s="7" t="s">
        <v>184</v>
      </c>
      <c r="I90" s="7">
        <v>11</v>
      </c>
      <c r="J90" s="7">
        <v>20</v>
      </c>
      <c r="K90" s="6" t="s">
        <v>15</v>
      </c>
      <c r="L90" s="7" t="s">
        <v>536</v>
      </c>
      <c r="M90" s="7" t="s">
        <v>50</v>
      </c>
      <c r="N90" s="7" t="s">
        <v>50</v>
      </c>
      <c r="O90" s="7" t="s">
        <v>50</v>
      </c>
      <c r="P90" s="7" t="s">
        <v>50</v>
      </c>
      <c r="Q90" s="7" t="s">
        <v>50</v>
      </c>
      <c r="R90" s="7" t="s">
        <v>50</v>
      </c>
      <c r="S90" s="7" t="s">
        <v>52</v>
      </c>
      <c r="T90" s="7" t="s">
        <v>53</v>
      </c>
      <c r="U90" s="18" t="s">
        <v>571</v>
      </c>
      <c r="V90" s="18"/>
      <c r="W90" s="7" t="s">
        <v>464</v>
      </c>
      <c r="X90" s="7" t="s">
        <v>443</v>
      </c>
      <c r="Y90" s="6" t="s">
        <v>394</v>
      </c>
      <c r="Z90" s="6">
        <v>162</v>
      </c>
      <c r="AA90" s="6">
        <v>316</v>
      </c>
      <c r="AB90" s="28">
        <f t="shared" si="1"/>
        <v>0.51265822784810122</v>
      </c>
      <c r="AC90" s="6" t="s">
        <v>118</v>
      </c>
    </row>
    <row r="91" spans="1:29" s="20" customFormat="1" x14ac:dyDescent="0.25">
      <c r="A91" s="20">
        <v>213</v>
      </c>
      <c r="B91" s="20" t="s">
        <v>28</v>
      </c>
      <c r="C91" s="20" t="s">
        <v>29</v>
      </c>
      <c r="D91" s="20" t="s">
        <v>26</v>
      </c>
      <c r="E91" s="20" t="s">
        <v>14</v>
      </c>
      <c r="F91" s="21">
        <v>2013</v>
      </c>
      <c r="G91" s="21">
        <v>31</v>
      </c>
      <c r="H91" s="21">
        <v>2</v>
      </c>
      <c r="I91" s="21">
        <v>474</v>
      </c>
      <c r="J91" s="21">
        <v>481</v>
      </c>
      <c r="K91" s="20" t="s">
        <v>15</v>
      </c>
      <c r="L91" s="20" t="s">
        <v>520</v>
      </c>
      <c r="M91" s="21" t="s">
        <v>92</v>
      </c>
      <c r="N91" s="20" t="s">
        <v>91</v>
      </c>
      <c r="O91" s="20" t="s">
        <v>50</v>
      </c>
      <c r="P91" s="20" t="s">
        <v>50</v>
      </c>
      <c r="Q91" s="20" t="s">
        <v>50</v>
      </c>
      <c r="R91" s="20" t="s">
        <v>51</v>
      </c>
      <c r="S91" s="20" t="s">
        <v>52</v>
      </c>
      <c r="T91" s="20" t="s">
        <v>53</v>
      </c>
      <c r="U91" s="22" t="s">
        <v>575</v>
      </c>
      <c r="V91" s="22"/>
      <c r="W91" s="22" t="s">
        <v>95</v>
      </c>
      <c r="X91" s="20" t="s">
        <v>98</v>
      </c>
      <c r="Y91" s="20" t="s">
        <v>121</v>
      </c>
      <c r="Z91" s="20">
        <v>112</v>
      </c>
      <c r="AA91" s="20">
        <v>193</v>
      </c>
      <c r="AB91" s="26">
        <f t="shared" si="1"/>
        <v>0.5803108808290155</v>
      </c>
      <c r="AC91" s="20" t="s">
        <v>93</v>
      </c>
    </row>
    <row r="92" spans="1:29" s="20" customFormat="1" x14ac:dyDescent="0.25">
      <c r="A92" s="20">
        <v>277</v>
      </c>
      <c r="B92" s="20" t="s">
        <v>185</v>
      </c>
      <c r="C92" s="20" t="s">
        <v>186</v>
      </c>
      <c r="D92" s="20" t="s">
        <v>26</v>
      </c>
      <c r="E92" s="20" t="s">
        <v>187</v>
      </c>
      <c r="F92" s="21">
        <v>2015</v>
      </c>
      <c r="G92" s="21">
        <v>7</v>
      </c>
      <c r="H92" s="21" t="s">
        <v>184</v>
      </c>
      <c r="I92" s="21">
        <v>252</v>
      </c>
      <c r="J92" s="21">
        <v>265</v>
      </c>
      <c r="K92" s="20" t="s">
        <v>15</v>
      </c>
      <c r="L92" s="21" t="s">
        <v>522</v>
      </c>
      <c r="M92" s="21" t="s">
        <v>51</v>
      </c>
      <c r="N92" s="21" t="s">
        <v>70</v>
      </c>
      <c r="O92" s="20" t="s">
        <v>50</v>
      </c>
      <c r="P92" s="20" t="s">
        <v>50</v>
      </c>
      <c r="Q92" s="20" t="s">
        <v>50</v>
      </c>
      <c r="R92" s="21" t="s">
        <v>51</v>
      </c>
      <c r="S92" s="21" t="s">
        <v>52</v>
      </c>
      <c r="T92" s="20" t="s">
        <v>53</v>
      </c>
      <c r="U92" s="22" t="s">
        <v>575</v>
      </c>
      <c r="V92" s="22"/>
      <c r="W92" s="22" t="s">
        <v>95</v>
      </c>
      <c r="X92" s="20" t="s">
        <v>90</v>
      </c>
      <c r="Y92" s="21" t="s">
        <v>337</v>
      </c>
      <c r="Z92" s="20">
        <v>8</v>
      </c>
      <c r="AA92" s="20">
        <v>150</v>
      </c>
      <c r="AB92" s="26">
        <f t="shared" si="1"/>
        <v>5.3333333333333337E-2</v>
      </c>
      <c r="AC92" s="20" t="s">
        <v>118</v>
      </c>
    </row>
    <row r="93" spans="1:29" s="20" customFormat="1" x14ac:dyDescent="0.25">
      <c r="A93" s="20">
        <v>597</v>
      </c>
      <c r="B93" s="20" t="s">
        <v>122</v>
      </c>
      <c r="C93" s="20" t="s">
        <v>123</v>
      </c>
      <c r="D93" s="20" t="s">
        <v>26</v>
      </c>
      <c r="E93" s="20" t="s">
        <v>124</v>
      </c>
      <c r="F93" s="21">
        <v>2015</v>
      </c>
      <c r="G93" s="21">
        <v>18</v>
      </c>
      <c r="H93" s="21">
        <v>5</v>
      </c>
      <c r="I93" s="21">
        <v>454</v>
      </c>
      <c r="J93" s="21">
        <v>469</v>
      </c>
      <c r="K93" s="20" t="s">
        <v>15</v>
      </c>
      <c r="L93" s="21" t="s">
        <v>527</v>
      </c>
      <c r="M93" s="20" t="s">
        <v>126</v>
      </c>
      <c r="N93" s="20" t="s">
        <v>125</v>
      </c>
      <c r="O93" s="20" t="s">
        <v>50</v>
      </c>
      <c r="P93" s="20" t="s">
        <v>50</v>
      </c>
      <c r="Q93" s="20" t="s">
        <v>50</v>
      </c>
      <c r="R93" s="20" t="s">
        <v>51</v>
      </c>
      <c r="S93" s="20" t="s">
        <v>52</v>
      </c>
      <c r="T93" s="20" t="s">
        <v>53</v>
      </c>
      <c r="U93" s="22" t="s">
        <v>575</v>
      </c>
      <c r="V93" s="22"/>
      <c r="W93" s="22" t="s">
        <v>147</v>
      </c>
      <c r="X93" s="20" t="s">
        <v>90</v>
      </c>
      <c r="Y93" s="20" t="s">
        <v>127</v>
      </c>
      <c r="Z93" s="20">
        <v>67</v>
      </c>
      <c r="AA93" s="20">
        <v>110</v>
      </c>
      <c r="AB93" s="26">
        <f t="shared" si="1"/>
        <v>0.60909090909090913</v>
      </c>
      <c r="AC93" s="20" t="s">
        <v>118</v>
      </c>
    </row>
    <row r="94" spans="1:29" s="20" customFormat="1" x14ac:dyDescent="0.25">
      <c r="A94" s="20">
        <v>596</v>
      </c>
      <c r="B94" s="20" t="s">
        <v>200</v>
      </c>
      <c r="C94" s="20" t="s">
        <v>201</v>
      </c>
      <c r="D94" s="20" t="s">
        <v>26</v>
      </c>
      <c r="E94" s="20" t="s">
        <v>202</v>
      </c>
      <c r="F94" s="21">
        <v>2016</v>
      </c>
      <c r="G94" s="21">
        <v>57</v>
      </c>
      <c r="H94" s="21" t="s">
        <v>184</v>
      </c>
      <c r="I94" s="21">
        <v>52</v>
      </c>
      <c r="J94" s="21">
        <v>59</v>
      </c>
      <c r="K94" s="20" t="s">
        <v>15</v>
      </c>
      <c r="L94" s="21" t="s">
        <v>526</v>
      </c>
      <c r="M94" s="21" t="s">
        <v>126</v>
      </c>
      <c r="N94" s="21" t="s">
        <v>50</v>
      </c>
      <c r="O94" s="21" t="s">
        <v>50</v>
      </c>
      <c r="P94" s="21" t="s">
        <v>50</v>
      </c>
      <c r="Q94" s="21" t="s">
        <v>50</v>
      </c>
      <c r="R94" s="21" t="s">
        <v>51</v>
      </c>
      <c r="S94" s="20" t="s">
        <v>52</v>
      </c>
      <c r="T94" s="20" t="s">
        <v>53</v>
      </c>
      <c r="U94" s="22" t="s">
        <v>575</v>
      </c>
      <c r="V94" s="22"/>
      <c r="W94" s="22" t="s">
        <v>147</v>
      </c>
      <c r="X94" s="20" t="s">
        <v>90</v>
      </c>
      <c r="Y94" s="20" t="s">
        <v>365</v>
      </c>
      <c r="Z94" s="20">
        <v>174</v>
      </c>
      <c r="AA94" s="20">
        <v>229</v>
      </c>
      <c r="AB94" s="26">
        <f t="shared" si="1"/>
        <v>0.75982532751091703</v>
      </c>
      <c r="AC94" s="20" t="s">
        <v>118</v>
      </c>
    </row>
    <row r="95" spans="1:29" s="20" customFormat="1" x14ac:dyDescent="0.25">
      <c r="A95" s="20">
        <v>595</v>
      </c>
      <c r="B95" s="20" t="s">
        <v>198</v>
      </c>
      <c r="C95" s="20" t="s">
        <v>199</v>
      </c>
      <c r="D95" s="20" t="s">
        <v>26</v>
      </c>
      <c r="E95" s="20" t="s">
        <v>180</v>
      </c>
      <c r="F95" s="21">
        <v>2017</v>
      </c>
      <c r="G95" s="21">
        <v>15</v>
      </c>
      <c r="H95" s="21">
        <v>1</v>
      </c>
      <c r="I95" s="21">
        <v>1</v>
      </c>
      <c r="J95" s="21">
        <v>16</v>
      </c>
      <c r="K95" s="20" t="s">
        <v>15</v>
      </c>
      <c r="L95" s="21" t="s">
        <v>525</v>
      </c>
      <c r="M95" s="21" t="s">
        <v>357</v>
      </c>
      <c r="N95" s="21" t="s">
        <v>50</v>
      </c>
      <c r="O95" s="21" t="s">
        <v>50</v>
      </c>
      <c r="P95" s="21" t="s">
        <v>50</v>
      </c>
      <c r="Q95" s="21" t="s">
        <v>50</v>
      </c>
      <c r="R95" s="21" t="s">
        <v>51</v>
      </c>
      <c r="S95" s="20" t="s">
        <v>52</v>
      </c>
      <c r="T95" s="20" t="s">
        <v>53</v>
      </c>
      <c r="U95" s="22" t="s">
        <v>575</v>
      </c>
      <c r="V95" s="22"/>
      <c r="W95" s="22" t="s">
        <v>147</v>
      </c>
      <c r="X95" s="20" t="s">
        <v>90</v>
      </c>
      <c r="Y95" s="20" t="s">
        <v>364</v>
      </c>
      <c r="Z95" s="20">
        <v>48</v>
      </c>
      <c r="AA95" s="20">
        <v>75</v>
      </c>
      <c r="AB95" s="26">
        <f t="shared" si="1"/>
        <v>0.64</v>
      </c>
      <c r="AC95" s="20" t="s">
        <v>118</v>
      </c>
    </row>
    <row r="96" spans="1:29" s="6" customFormat="1" x14ac:dyDescent="0.25">
      <c r="A96" s="6">
        <v>820</v>
      </c>
      <c r="B96" s="6" t="s">
        <v>219</v>
      </c>
      <c r="C96" s="6" t="s">
        <v>220</v>
      </c>
      <c r="D96" s="6" t="s">
        <v>26</v>
      </c>
      <c r="E96" s="6" t="s">
        <v>221</v>
      </c>
      <c r="F96" s="7">
        <v>2004</v>
      </c>
      <c r="G96" s="7">
        <v>28</v>
      </c>
      <c r="H96" s="7">
        <v>6</v>
      </c>
      <c r="I96" s="7">
        <v>490</v>
      </c>
      <c r="J96" s="7">
        <v>498</v>
      </c>
      <c r="K96" s="6" t="s">
        <v>15</v>
      </c>
      <c r="L96" s="7" t="s">
        <v>513</v>
      </c>
      <c r="M96" s="7" t="s">
        <v>51</v>
      </c>
      <c r="N96" s="7" t="s">
        <v>70</v>
      </c>
      <c r="O96" s="7" t="s">
        <v>50</v>
      </c>
      <c r="P96" s="7" t="s">
        <v>51</v>
      </c>
      <c r="Q96" s="7" t="s">
        <v>50</v>
      </c>
      <c r="R96" s="7" t="s">
        <v>51</v>
      </c>
      <c r="S96" s="6" t="s">
        <v>52</v>
      </c>
      <c r="T96" s="7" t="s">
        <v>53</v>
      </c>
      <c r="U96" s="6" t="s">
        <v>567</v>
      </c>
      <c r="W96" s="7" t="s">
        <v>392</v>
      </c>
      <c r="X96" s="7" t="s">
        <v>89</v>
      </c>
      <c r="Y96" s="6" t="s">
        <v>393</v>
      </c>
      <c r="Z96" s="6">
        <v>9</v>
      </c>
      <c r="AA96" s="6">
        <v>35</v>
      </c>
      <c r="AB96" s="28">
        <f t="shared" si="1"/>
        <v>0.25714285714285712</v>
      </c>
      <c r="AC96" s="6" t="s">
        <v>390</v>
      </c>
    </row>
    <row r="97" spans="1:29" s="6" customFormat="1" x14ac:dyDescent="0.25">
      <c r="A97" s="6">
        <v>537</v>
      </c>
      <c r="B97" s="6" t="s">
        <v>160</v>
      </c>
      <c r="C97" s="6" t="s">
        <v>161</v>
      </c>
      <c r="D97" s="6" t="s">
        <v>26</v>
      </c>
      <c r="E97" s="6" t="s">
        <v>162</v>
      </c>
      <c r="F97" s="7">
        <v>2005</v>
      </c>
      <c r="G97" s="7">
        <v>24</v>
      </c>
      <c r="H97" s="7">
        <v>2</v>
      </c>
      <c r="I97" s="7">
        <v>206</v>
      </c>
      <c r="J97" s="7">
        <v>210</v>
      </c>
      <c r="K97" s="6" t="s">
        <v>15</v>
      </c>
      <c r="L97" s="6" t="s">
        <v>511</v>
      </c>
      <c r="M97" s="7" t="s">
        <v>69</v>
      </c>
      <c r="N97" s="7" t="s">
        <v>70</v>
      </c>
      <c r="O97" s="6" t="s">
        <v>50</v>
      </c>
      <c r="P97" s="6" t="s">
        <v>50</v>
      </c>
      <c r="Q97" s="6" t="s">
        <v>50</v>
      </c>
      <c r="R97" s="6" t="s">
        <v>51</v>
      </c>
      <c r="S97" s="6" t="s">
        <v>52</v>
      </c>
      <c r="T97" s="6" t="s">
        <v>53</v>
      </c>
      <c r="U97" s="6" t="s">
        <v>567</v>
      </c>
      <c r="W97" s="6" t="s">
        <v>262</v>
      </c>
      <c r="X97" s="6" t="s">
        <v>89</v>
      </c>
      <c r="Y97" s="6" t="s">
        <v>61</v>
      </c>
      <c r="Z97" s="6">
        <v>165</v>
      </c>
      <c r="AA97" s="6">
        <v>322</v>
      </c>
      <c r="AB97" s="28">
        <f t="shared" si="1"/>
        <v>0.51242236024844723</v>
      </c>
      <c r="AC97" s="6" t="s">
        <v>84</v>
      </c>
    </row>
    <row r="98" spans="1:29" s="6" customFormat="1" ht="14.25" customHeight="1" x14ac:dyDescent="0.25">
      <c r="A98" s="6">
        <v>939</v>
      </c>
      <c r="B98" s="6" t="s">
        <v>16</v>
      </c>
      <c r="C98" s="6" t="s">
        <v>17</v>
      </c>
      <c r="E98" s="6" t="s">
        <v>18</v>
      </c>
      <c r="F98" s="7">
        <v>2011</v>
      </c>
      <c r="G98" s="7">
        <v>6</v>
      </c>
      <c r="H98" s="7">
        <v>5</v>
      </c>
      <c r="I98" s="7" t="s">
        <v>19</v>
      </c>
      <c r="J98" s="7" t="s">
        <v>20</v>
      </c>
      <c r="K98" s="6" t="s">
        <v>15</v>
      </c>
      <c r="L98" s="6" t="s">
        <v>512</v>
      </c>
      <c r="M98" s="7" t="s">
        <v>69</v>
      </c>
      <c r="N98" s="6" t="s">
        <v>70</v>
      </c>
      <c r="O98" s="6" t="s">
        <v>50</v>
      </c>
      <c r="P98" s="6" t="s">
        <v>50</v>
      </c>
      <c r="Q98" s="6" t="s">
        <v>50</v>
      </c>
      <c r="R98" s="6" t="s">
        <v>51</v>
      </c>
      <c r="S98" s="6" t="s">
        <v>52</v>
      </c>
      <c r="T98" s="6" t="s">
        <v>53</v>
      </c>
      <c r="U98" s="6" t="s">
        <v>567</v>
      </c>
      <c r="W98" s="6" t="s">
        <v>88</v>
      </c>
      <c r="X98" s="6" t="s">
        <v>89</v>
      </c>
      <c r="Y98" s="6" t="s">
        <v>61</v>
      </c>
      <c r="Z98" s="27">
        <v>398</v>
      </c>
      <c r="AA98" s="6">
        <v>430</v>
      </c>
      <c r="AB98" s="28">
        <f t="shared" si="1"/>
        <v>0.92558139534883721</v>
      </c>
      <c r="AC98" s="6" t="s">
        <v>84</v>
      </c>
    </row>
    <row r="99" spans="1:29" s="6" customFormat="1" x14ac:dyDescent="0.25">
      <c r="A99" s="6">
        <v>229</v>
      </c>
      <c r="B99" s="6" t="s">
        <v>181</v>
      </c>
      <c r="C99" s="6" t="s">
        <v>182</v>
      </c>
      <c r="D99" s="6" t="s">
        <v>26</v>
      </c>
      <c r="E99" s="6" t="s">
        <v>183</v>
      </c>
      <c r="F99" s="7">
        <v>2013</v>
      </c>
      <c r="G99" s="7">
        <v>4</v>
      </c>
      <c r="H99" s="7">
        <v>4</v>
      </c>
      <c r="I99" s="7">
        <v>1000140</v>
      </c>
      <c r="J99" s="7" t="s">
        <v>184</v>
      </c>
      <c r="K99" s="6" t="s">
        <v>15</v>
      </c>
      <c r="L99" s="6" t="s">
        <v>521</v>
      </c>
      <c r="M99" s="7" t="s">
        <v>50</v>
      </c>
      <c r="N99" s="7" t="s">
        <v>70</v>
      </c>
      <c r="O99" s="6" t="s">
        <v>50</v>
      </c>
      <c r="P99" s="6" t="s">
        <v>50</v>
      </c>
      <c r="Q99" s="6" t="s">
        <v>50</v>
      </c>
      <c r="R99" s="6" t="s">
        <v>50</v>
      </c>
      <c r="S99" s="7" t="s">
        <v>52</v>
      </c>
      <c r="T99" s="6" t="s">
        <v>53</v>
      </c>
      <c r="U99" s="6" t="s">
        <v>567</v>
      </c>
      <c r="W99" s="7" t="s">
        <v>305</v>
      </c>
      <c r="X99" s="7" t="s">
        <v>89</v>
      </c>
      <c r="Y99" s="7" t="s">
        <v>303</v>
      </c>
      <c r="Z99" s="27">
        <f>95%*AA99</f>
        <v>38</v>
      </c>
      <c r="AA99" s="6">
        <v>40</v>
      </c>
      <c r="AB99" s="28">
        <f t="shared" si="1"/>
        <v>0.95</v>
      </c>
      <c r="AC99" s="6" t="s">
        <v>84</v>
      </c>
    </row>
    <row r="100" spans="1:29" s="6" customFormat="1" x14ac:dyDescent="0.25">
      <c r="A100" s="6">
        <v>112</v>
      </c>
      <c r="B100" s="6" t="s">
        <v>157</v>
      </c>
      <c r="C100" s="6" t="s">
        <v>158</v>
      </c>
      <c r="D100" s="6" t="s">
        <v>26</v>
      </c>
      <c r="E100" s="6" t="s">
        <v>159</v>
      </c>
      <c r="F100" s="7">
        <v>2014</v>
      </c>
      <c r="G100" s="7">
        <v>26</v>
      </c>
      <c r="H100" s="7">
        <v>11</v>
      </c>
      <c r="I100" s="7">
        <v>1228</v>
      </c>
      <c r="J100" s="7">
        <v>1233</v>
      </c>
      <c r="K100" s="6" t="s">
        <v>15</v>
      </c>
      <c r="L100" s="6" t="s">
        <v>505</v>
      </c>
      <c r="M100" s="7" t="s">
        <v>69</v>
      </c>
      <c r="N100" s="7" t="s">
        <v>70</v>
      </c>
      <c r="O100" s="6" t="s">
        <v>50</v>
      </c>
      <c r="P100" s="6" t="s">
        <v>50</v>
      </c>
      <c r="Q100" s="6" t="s">
        <v>50</v>
      </c>
      <c r="R100" s="6" t="s">
        <v>51</v>
      </c>
      <c r="S100" s="6" t="s">
        <v>52</v>
      </c>
      <c r="T100" s="6" t="s">
        <v>53</v>
      </c>
      <c r="U100" s="6" t="s">
        <v>567</v>
      </c>
      <c r="W100" s="6" t="s">
        <v>262</v>
      </c>
      <c r="X100" s="6" t="s">
        <v>89</v>
      </c>
      <c r="Y100" s="6" t="s">
        <v>265</v>
      </c>
      <c r="Z100" s="6">
        <v>247</v>
      </c>
      <c r="AA100" s="6">
        <v>265</v>
      </c>
      <c r="AB100" s="28">
        <f t="shared" si="1"/>
        <v>0.93207547169811322</v>
      </c>
      <c r="AC100" s="6" t="s">
        <v>84</v>
      </c>
    </row>
    <row r="101" spans="1:29" s="6" customFormat="1" x14ac:dyDescent="0.25">
      <c r="A101" s="6">
        <v>612</v>
      </c>
      <c r="B101" s="6" t="s">
        <v>206</v>
      </c>
      <c r="C101" s="6" t="s">
        <v>207</v>
      </c>
      <c r="D101" s="6" t="s">
        <v>26</v>
      </c>
      <c r="E101" s="6" t="s">
        <v>208</v>
      </c>
      <c r="F101" s="7">
        <v>2016</v>
      </c>
      <c r="G101" s="7">
        <v>6</v>
      </c>
      <c r="H101" s="7" t="s">
        <v>184</v>
      </c>
      <c r="I101" s="7">
        <v>58</v>
      </c>
      <c r="J101" s="7">
        <v>64</v>
      </c>
      <c r="K101" s="6" t="s">
        <v>15</v>
      </c>
      <c r="L101" s="7" t="s">
        <v>529</v>
      </c>
      <c r="M101" s="7" t="s">
        <v>404</v>
      </c>
      <c r="N101" s="7" t="s">
        <v>70</v>
      </c>
      <c r="O101" s="7" t="s">
        <v>50</v>
      </c>
      <c r="P101" s="7" t="s">
        <v>50</v>
      </c>
      <c r="Q101" s="7" t="s">
        <v>50</v>
      </c>
      <c r="R101" s="7" t="s">
        <v>51</v>
      </c>
      <c r="S101" s="6" t="s">
        <v>52</v>
      </c>
      <c r="T101" s="7" t="s">
        <v>53</v>
      </c>
      <c r="U101" s="6" t="s">
        <v>567</v>
      </c>
      <c r="W101" s="7" t="s">
        <v>374</v>
      </c>
      <c r="X101" s="7" t="s">
        <v>89</v>
      </c>
      <c r="Y101" s="7" t="s">
        <v>373</v>
      </c>
      <c r="Z101" s="27">
        <f>62.2%*AA101</f>
        <v>49.76</v>
      </c>
      <c r="AA101" s="6">
        <v>80</v>
      </c>
      <c r="AB101" s="28">
        <f t="shared" si="1"/>
        <v>0.622</v>
      </c>
      <c r="AC101" s="6" t="s">
        <v>84</v>
      </c>
    </row>
    <row r="102" spans="1:29" s="20" customFormat="1" x14ac:dyDescent="0.25">
      <c r="A102" s="20">
        <v>77</v>
      </c>
      <c r="B102" s="20" t="s">
        <v>24</v>
      </c>
      <c r="C102" s="20" t="s">
        <v>25</v>
      </c>
      <c r="D102" s="20" t="s">
        <v>26</v>
      </c>
      <c r="E102" s="20" t="s">
        <v>27</v>
      </c>
      <c r="F102" s="21">
        <v>2007</v>
      </c>
      <c r="G102" s="21">
        <v>98</v>
      </c>
      <c r="H102" s="21">
        <v>4</v>
      </c>
      <c r="I102" s="21">
        <v>344</v>
      </c>
      <c r="J102" s="21">
        <v>348</v>
      </c>
      <c r="K102" s="20" t="s">
        <v>15</v>
      </c>
      <c r="L102" s="20" t="s">
        <v>516</v>
      </c>
      <c r="M102" s="20" t="s">
        <v>49</v>
      </c>
      <c r="N102" s="20" t="s">
        <v>48</v>
      </c>
      <c r="O102" s="20" t="s">
        <v>50</v>
      </c>
      <c r="P102" s="20" t="s">
        <v>50</v>
      </c>
      <c r="Q102" s="20" t="s">
        <v>50</v>
      </c>
      <c r="R102" s="20" t="s">
        <v>51</v>
      </c>
      <c r="S102" s="20" t="s">
        <v>52</v>
      </c>
      <c r="T102" s="20" t="s">
        <v>53</v>
      </c>
      <c r="U102" s="21" t="s">
        <v>590</v>
      </c>
      <c r="V102" s="21" t="s">
        <v>582</v>
      </c>
      <c r="W102" s="22" t="s">
        <v>68</v>
      </c>
      <c r="X102" s="20" t="s">
        <v>90</v>
      </c>
      <c r="Y102" s="20" t="s">
        <v>119</v>
      </c>
      <c r="Z102" s="25">
        <v>61</v>
      </c>
      <c r="AA102" s="20">
        <v>100</v>
      </c>
      <c r="AB102" s="26">
        <f t="shared" si="1"/>
        <v>0.61</v>
      </c>
      <c r="AC102" s="20" t="s">
        <v>84</v>
      </c>
    </row>
    <row r="103" spans="1:29" s="20" customFormat="1" x14ac:dyDescent="0.25">
      <c r="A103" s="20">
        <v>79</v>
      </c>
      <c r="B103" s="20" t="s">
        <v>12</v>
      </c>
      <c r="C103" s="20" t="s">
        <v>13</v>
      </c>
      <c r="E103" s="20" t="s">
        <v>14</v>
      </c>
      <c r="F103" s="21">
        <v>2010</v>
      </c>
      <c r="G103" s="21">
        <v>21</v>
      </c>
      <c r="H103" s="21">
        <v>10</v>
      </c>
      <c r="I103" s="21">
        <v>1318</v>
      </c>
      <c r="J103" s="21">
        <v>1321</v>
      </c>
      <c r="K103" s="20" t="s">
        <v>15</v>
      </c>
      <c r="L103" s="24" t="s">
        <v>517</v>
      </c>
      <c r="M103" s="21" t="s">
        <v>69</v>
      </c>
      <c r="N103" s="20" t="s">
        <v>70</v>
      </c>
      <c r="O103" s="20" t="s">
        <v>50</v>
      </c>
      <c r="P103" s="20" t="s">
        <v>50</v>
      </c>
      <c r="Q103" s="20" t="s">
        <v>484</v>
      </c>
      <c r="R103" s="20" t="s">
        <v>51</v>
      </c>
      <c r="S103" s="20" t="s">
        <v>52</v>
      </c>
      <c r="T103" s="20" t="s">
        <v>53</v>
      </c>
      <c r="U103" s="21" t="s">
        <v>590</v>
      </c>
      <c r="V103" s="21" t="s">
        <v>582</v>
      </c>
      <c r="W103" s="20" t="s">
        <v>81</v>
      </c>
      <c r="X103" s="20" t="s">
        <v>90</v>
      </c>
      <c r="Y103" s="20" t="s">
        <v>120</v>
      </c>
      <c r="Z103" s="20">
        <v>33</v>
      </c>
      <c r="AA103" s="20">
        <v>74</v>
      </c>
      <c r="AB103" s="26">
        <f t="shared" si="1"/>
        <v>0.44594594594594594</v>
      </c>
      <c r="AC103" s="20" t="s">
        <v>84</v>
      </c>
    </row>
    <row r="104" spans="1:29" s="20" customFormat="1" x14ac:dyDescent="0.25">
      <c r="A104" s="20">
        <v>1086</v>
      </c>
      <c r="B104" s="20" t="s">
        <v>21</v>
      </c>
      <c r="C104" s="20" t="s">
        <v>22</v>
      </c>
      <c r="E104" s="20" t="s">
        <v>23</v>
      </c>
      <c r="F104" s="21">
        <v>2014</v>
      </c>
      <c r="G104" s="21">
        <v>71</v>
      </c>
      <c r="H104" s="21">
        <v>4</v>
      </c>
      <c r="I104" s="21">
        <v>265</v>
      </c>
      <c r="J104" s="21">
        <v>269</v>
      </c>
      <c r="K104" s="20" t="s">
        <v>15</v>
      </c>
      <c r="L104" s="21" t="s">
        <v>537</v>
      </c>
      <c r="M104" s="20" t="s">
        <v>50</v>
      </c>
      <c r="N104" s="20" t="s">
        <v>109</v>
      </c>
      <c r="O104" s="20" t="s">
        <v>50</v>
      </c>
      <c r="P104" s="20" t="s">
        <v>50</v>
      </c>
      <c r="Q104" s="20" t="s">
        <v>50</v>
      </c>
      <c r="R104" s="20" t="s">
        <v>50</v>
      </c>
      <c r="S104" s="20" t="s">
        <v>52</v>
      </c>
      <c r="T104" s="20" t="s">
        <v>53</v>
      </c>
      <c r="U104" s="21" t="s">
        <v>590</v>
      </c>
      <c r="V104" s="21" t="s">
        <v>582</v>
      </c>
      <c r="W104" s="22" t="s">
        <v>115</v>
      </c>
      <c r="X104" s="20" t="s">
        <v>90</v>
      </c>
      <c r="Y104" s="20" t="s">
        <v>110</v>
      </c>
      <c r="Z104" s="25">
        <f>72%*AA104</f>
        <v>89.28</v>
      </c>
      <c r="AA104" s="20">
        <v>124</v>
      </c>
      <c r="AB104" s="26">
        <f t="shared" si="1"/>
        <v>0.72</v>
      </c>
      <c r="AC104" s="20" t="s">
        <v>118</v>
      </c>
    </row>
    <row r="105" spans="1:29" s="20" customFormat="1" x14ac:dyDescent="0.25">
      <c r="A105" s="20">
        <v>597</v>
      </c>
      <c r="B105" s="20" t="s">
        <v>122</v>
      </c>
      <c r="C105" s="20" t="s">
        <v>123</v>
      </c>
      <c r="D105" s="20" t="s">
        <v>26</v>
      </c>
      <c r="E105" s="20" t="s">
        <v>124</v>
      </c>
      <c r="F105" s="21">
        <v>2015</v>
      </c>
      <c r="G105" s="21">
        <v>18</v>
      </c>
      <c r="H105" s="21">
        <v>5</v>
      </c>
      <c r="I105" s="21">
        <v>454</v>
      </c>
      <c r="J105" s="21">
        <v>469</v>
      </c>
      <c r="K105" s="20" t="s">
        <v>15</v>
      </c>
      <c r="L105" s="21" t="s">
        <v>527</v>
      </c>
      <c r="M105" s="20" t="s">
        <v>126</v>
      </c>
      <c r="N105" s="20" t="s">
        <v>125</v>
      </c>
      <c r="O105" s="20" t="s">
        <v>50</v>
      </c>
      <c r="P105" s="20" t="s">
        <v>50</v>
      </c>
      <c r="Q105" s="20" t="s">
        <v>50</v>
      </c>
      <c r="R105" s="20" t="s">
        <v>51</v>
      </c>
      <c r="S105" s="20" t="s">
        <v>52</v>
      </c>
      <c r="T105" s="20" t="s">
        <v>53</v>
      </c>
      <c r="U105" s="21" t="s">
        <v>590</v>
      </c>
      <c r="V105" s="21" t="s">
        <v>582</v>
      </c>
      <c r="W105" s="22" t="s">
        <v>138</v>
      </c>
      <c r="X105" s="20" t="s">
        <v>90</v>
      </c>
      <c r="Y105" s="20" t="s">
        <v>127</v>
      </c>
      <c r="Z105" s="20">
        <v>81</v>
      </c>
      <c r="AA105" s="20">
        <v>110</v>
      </c>
      <c r="AB105" s="26">
        <f t="shared" si="1"/>
        <v>0.73636363636363633</v>
      </c>
      <c r="AC105" s="20" t="s">
        <v>118</v>
      </c>
    </row>
    <row r="106" spans="1:29" s="20" customFormat="1" x14ac:dyDescent="0.25">
      <c r="A106" s="20">
        <v>923</v>
      </c>
      <c r="B106" s="20" t="s">
        <v>233</v>
      </c>
      <c r="C106" s="20" t="s">
        <v>234</v>
      </c>
      <c r="D106" s="20" t="s">
        <v>26</v>
      </c>
      <c r="E106" s="20" t="s">
        <v>235</v>
      </c>
      <c r="F106" s="21">
        <v>2015</v>
      </c>
      <c r="G106" s="21">
        <v>129</v>
      </c>
      <c r="H106" s="21">
        <v>9</v>
      </c>
      <c r="I106" s="21">
        <v>1278</v>
      </c>
      <c r="J106" s="21">
        <v>1284</v>
      </c>
      <c r="K106" s="20" t="s">
        <v>15</v>
      </c>
      <c r="L106" s="24" t="s">
        <v>534</v>
      </c>
      <c r="M106" s="21" t="s">
        <v>404</v>
      </c>
      <c r="N106" s="21" t="s">
        <v>50</v>
      </c>
      <c r="O106" s="21" t="s">
        <v>50</v>
      </c>
      <c r="P106" s="21" t="s">
        <v>50</v>
      </c>
      <c r="Q106" s="21" t="s">
        <v>50</v>
      </c>
      <c r="R106" s="21" t="s">
        <v>51</v>
      </c>
      <c r="S106" s="21" t="s">
        <v>52</v>
      </c>
      <c r="T106" s="21" t="s">
        <v>53</v>
      </c>
      <c r="U106" s="21" t="s">
        <v>590</v>
      </c>
      <c r="V106" s="21" t="s">
        <v>582</v>
      </c>
      <c r="W106" s="21" t="s">
        <v>416</v>
      </c>
      <c r="X106" s="21" t="s">
        <v>90</v>
      </c>
      <c r="Y106" s="21" t="s">
        <v>405</v>
      </c>
      <c r="Z106" s="20">
        <v>103</v>
      </c>
      <c r="AA106" s="20">
        <v>117</v>
      </c>
      <c r="AB106" s="26">
        <f t="shared" si="1"/>
        <v>0.88034188034188032</v>
      </c>
      <c r="AC106" s="20" t="s">
        <v>84</v>
      </c>
    </row>
    <row r="107" spans="1:29" s="20" customFormat="1" x14ac:dyDescent="0.25">
      <c r="A107" s="20">
        <v>596</v>
      </c>
      <c r="B107" s="20" t="s">
        <v>200</v>
      </c>
      <c r="C107" s="20" t="s">
        <v>201</v>
      </c>
      <c r="D107" s="20" t="s">
        <v>26</v>
      </c>
      <c r="E107" s="20" t="s">
        <v>202</v>
      </c>
      <c r="F107" s="21">
        <v>2016</v>
      </c>
      <c r="G107" s="21">
        <v>57</v>
      </c>
      <c r="H107" s="21" t="s">
        <v>184</v>
      </c>
      <c r="I107" s="21">
        <v>52</v>
      </c>
      <c r="J107" s="21">
        <v>59</v>
      </c>
      <c r="K107" s="20" t="s">
        <v>15</v>
      </c>
      <c r="L107" s="21" t="s">
        <v>526</v>
      </c>
      <c r="M107" s="21" t="s">
        <v>126</v>
      </c>
      <c r="N107" s="21" t="s">
        <v>50</v>
      </c>
      <c r="O107" s="21" t="s">
        <v>50</v>
      </c>
      <c r="P107" s="21" t="s">
        <v>50</v>
      </c>
      <c r="Q107" s="21" t="s">
        <v>50</v>
      </c>
      <c r="R107" s="21" t="s">
        <v>51</v>
      </c>
      <c r="S107" s="20" t="s">
        <v>52</v>
      </c>
      <c r="T107" s="20" t="s">
        <v>53</v>
      </c>
      <c r="U107" s="21" t="s">
        <v>590</v>
      </c>
      <c r="V107" s="21" t="s">
        <v>582</v>
      </c>
      <c r="W107" s="22" t="s">
        <v>138</v>
      </c>
      <c r="X107" s="20" t="s">
        <v>90</v>
      </c>
      <c r="Y107" s="20" t="s">
        <v>365</v>
      </c>
      <c r="Z107" s="20">
        <v>182</v>
      </c>
      <c r="AA107" s="20">
        <v>229</v>
      </c>
      <c r="AB107" s="26">
        <f t="shared" si="1"/>
        <v>0.79475982532751088</v>
      </c>
      <c r="AC107" s="20" t="s">
        <v>118</v>
      </c>
    </row>
    <row r="108" spans="1:29" s="20" customFormat="1" x14ac:dyDescent="0.25">
      <c r="A108" s="20">
        <v>832</v>
      </c>
      <c r="B108" s="20" t="s">
        <v>225</v>
      </c>
      <c r="C108" s="20" t="s">
        <v>226</v>
      </c>
      <c r="D108" s="20" t="s">
        <v>26</v>
      </c>
      <c r="E108" s="20" t="s">
        <v>227</v>
      </c>
      <c r="F108" s="21">
        <v>2016</v>
      </c>
      <c r="G108" s="21">
        <v>79</v>
      </c>
      <c r="H108" s="21">
        <v>9</v>
      </c>
      <c r="I108" s="21">
        <v>1588</v>
      </c>
      <c r="J108" s="21">
        <v>1598</v>
      </c>
      <c r="K108" s="20" t="s">
        <v>15</v>
      </c>
      <c r="L108" s="21" t="s">
        <v>531</v>
      </c>
      <c r="M108" s="20" t="s">
        <v>495</v>
      </c>
      <c r="N108" s="21" t="s">
        <v>70</v>
      </c>
      <c r="O108" s="21" t="s">
        <v>50</v>
      </c>
      <c r="P108" s="21" t="s">
        <v>50</v>
      </c>
      <c r="Q108" s="21" t="s">
        <v>50</v>
      </c>
      <c r="R108" s="21" t="s">
        <v>51</v>
      </c>
      <c r="S108" s="20" t="s">
        <v>52</v>
      </c>
      <c r="T108" s="21" t="s">
        <v>53</v>
      </c>
      <c r="U108" s="21" t="s">
        <v>590</v>
      </c>
      <c r="V108" s="21" t="s">
        <v>582</v>
      </c>
      <c r="W108" s="21" t="s">
        <v>430</v>
      </c>
      <c r="X108" s="21" t="s">
        <v>90</v>
      </c>
      <c r="Y108" s="21" t="s">
        <v>493</v>
      </c>
      <c r="Z108" s="20">
        <f>226+164+113</f>
        <v>503</v>
      </c>
      <c r="AA108" s="20">
        <f>277+211+156</f>
        <v>644</v>
      </c>
      <c r="AB108" s="26">
        <f t="shared" si="1"/>
        <v>0.78105590062111796</v>
      </c>
      <c r="AC108" s="20" t="s">
        <v>118</v>
      </c>
    </row>
    <row r="109" spans="1:29" s="20" customFormat="1" x14ac:dyDescent="0.25">
      <c r="A109" s="20">
        <v>595</v>
      </c>
      <c r="B109" s="20" t="s">
        <v>198</v>
      </c>
      <c r="C109" s="20" t="s">
        <v>199</v>
      </c>
      <c r="D109" s="20" t="s">
        <v>26</v>
      </c>
      <c r="E109" s="20" t="s">
        <v>180</v>
      </c>
      <c r="F109" s="21">
        <v>2017</v>
      </c>
      <c r="G109" s="21">
        <v>15</v>
      </c>
      <c r="H109" s="21">
        <v>1</v>
      </c>
      <c r="I109" s="21">
        <v>1</v>
      </c>
      <c r="J109" s="21">
        <v>16</v>
      </c>
      <c r="K109" s="20" t="s">
        <v>15</v>
      </c>
      <c r="L109" s="21" t="s">
        <v>525</v>
      </c>
      <c r="M109" s="21" t="s">
        <v>357</v>
      </c>
      <c r="N109" s="21" t="s">
        <v>50</v>
      </c>
      <c r="O109" s="21" t="s">
        <v>50</v>
      </c>
      <c r="P109" s="21" t="s">
        <v>50</v>
      </c>
      <c r="Q109" s="21" t="s">
        <v>50</v>
      </c>
      <c r="R109" s="21" t="s">
        <v>51</v>
      </c>
      <c r="S109" s="20" t="s">
        <v>52</v>
      </c>
      <c r="T109" s="20" t="s">
        <v>53</v>
      </c>
      <c r="U109" s="21" t="s">
        <v>590</v>
      </c>
      <c r="V109" s="21" t="s">
        <v>582</v>
      </c>
      <c r="W109" s="22" t="s">
        <v>138</v>
      </c>
      <c r="X109" s="20" t="s">
        <v>90</v>
      </c>
      <c r="Y109" s="20" t="s">
        <v>364</v>
      </c>
      <c r="Z109" s="20">
        <v>60</v>
      </c>
      <c r="AA109" s="20">
        <v>75</v>
      </c>
      <c r="AB109" s="26">
        <f t="shared" si="1"/>
        <v>0.8</v>
      </c>
      <c r="AC109" s="20" t="s">
        <v>118</v>
      </c>
    </row>
    <row r="110" spans="1:29" s="20" customFormat="1" x14ac:dyDescent="0.25">
      <c r="A110" s="20">
        <v>1080</v>
      </c>
      <c r="B110" s="20" t="s">
        <v>239</v>
      </c>
      <c r="C110" s="20" t="s">
        <v>240</v>
      </c>
      <c r="D110" s="20" t="s">
        <v>26</v>
      </c>
      <c r="E110" s="20" t="s">
        <v>202</v>
      </c>
      <c r="F110" s="21">
        <v>2017</v>
      </c>
      <c r="G110" s="21">
        <v>64</v>
      </c>
      <c r="H110" s="21" t="s">
        <v>184</v>
      </c>
      <c r="I110" s="21">
        <v>11</v>
      </c>
      <c r="J110" s="21">
        <v>20</v>
      </c>
      <c r="K110" s="20" t="s">
        <v>15</v>
      </c>
      <c r="L110" s="21" t="s">
        <v>536</v>
      </c>
      <c r="M110" s="21" t="s">
        <v>50</v>
      </c>
      <c r="N110" s="21" t="s">
        <v>50</v>
      </c>
      <c r="O110" s="21" t="s">
        <v>50</v>
      </c>
      <c r="P110" s="21" t="s">
        <v>50</v>
      </c>
      <c r="Q110" s="21" t="s">
        <v>50</v>
      </c>
      <c r="R110" s="21" t="s">
        <v>50</v>
      </c>
      <c r="S110" s="21" t="s">
        <v>52</v>
      </c>
      <c r="T110" s="21" t="s">
        <v>53</v>
      </c>
      <c r="U110" s="21" t="s">
        <v>590</v>
      </c>
      <c r="V110" s="21" t="s">
        <v>582</v>
      </c>
      <c r="W110" s="21" t="s">
        <v>452</v>
      </c>
      <c r="X110" s="21" t="s">
        <v>443</v>
      </c>
      <c r="Y110" s="20" t="s">
        <v>394</v>
      </c>
      <c r="Z110" s="20">
        <v>196</v>
      </c>
      <c r="AA110" s="20">
        <v>316</v>
      </c>
      <c r="AB110" s="26">
        <f t="shared" si="1"/>
        <v>0.620253164556962</v>
      </c>
      <c r="AC110" s="20" t="s">
        <v>84</v>
      </c>
    </row>
    <row r="111" spans="1:29" x14ac:dyDescent="0.25">
      <c r="A111" s="6">
        <v>597</v>
      </c>
      <c r="B111" s="6" t="s">
        <v>122</v>
      </c>
      <c r="C111" s="6" t="s">
        <v>123</v>
      </c>
      <c r="D111" s="6" t="s">
        <v>26</v>
      </c>
      <c r="E111" s="6" t="s">
        <v>124</v>
      </c>
      <c r="F111" s="7">
        <v>2015</v>
      </c>
      <c r="G111" s="7">
        <v>18</v>
      </c>
      <c r="H111" s="7">
        <v>5</v>
      </c>
      <c r="I111" s="7">
        <v>454</v>
      </c>
      <c r="J111" s="7">
        <v>469</v>
      </c>
      <c r="K111" t="s">
        <v>15</v>
      </c>
      <c r="L111" s="8" t="s">
        <v>527</v>
      </c>
      <c r="M111" t="s">
        <v>126</v>
      </c>
      <c r="N111" t="s">
        <v>125</v>
      </c>
      <c r="O111" t="s">
        <v>50</v>
      </c>
      <c r="P111" t="s">
        <v>50</v>
      </c>
      <c r="Q111" t="s">
        <v>50</v>
      </c>
      <c r="R111" t="s">
        <v>51</v>
      </c>
      <c r="S111" t="s">
        <v>52</v>
      </c>
      <c r="T111" t="s">
        <v>53</v>
      </c>
      <c r="U111" s="8" t="s">
        <v>591</v>
      </c>
      <c r="V111" s="7" t="s">
        <v>582</v>
      </c>
      <c r="W111" s="11" t="s">
        <v>142</v>
      </c>
      <c r="X111" t="s">
        <v>90</v>
      </c>
      <c r="Y111" t="s">
        <v>127</v>
      </c>
      <c r="Z111">
        <v>66</v>
      </c>
      <c r="AA111">
        <v>110</v>
      </c>
      <c r="AB111" s="19">
        <f t="shared" si="1"/>
        <v>0.6</v>
      </c>
      <c r="AC111" t="s">
        <v>118</v>
      </c>
    </row>
    <row r="112" spans="1:29" x14ac:dyDescent="0.25">
      <c r="A112" s="6">
        <v>923</v>
      </c>
      <c r="B112" s="6" t="s">
        <v>233</v>
      </c>
      <c r="C112" s="6" t="s">
        <v>234</v>
      </c>
      <c r="D112" s="6" t="s">
        <v>26</v>
      </c>
      <c r="E112" s="6" t="s">
        <v>235</v>
      </c>
      <c r="F112" s="7">
        <v>2015</v>
      </c>
      <c r="G112" s="7">
        <v>129</v>
      </c>
      <c r="H112" s="7">
        <v>9</v>
      </c>
      <c r="I112" s="7">
        <v>1278</v>
      </c>
      <c r="J112" s="7">
        <v>1284</v>
      </c>
      <c r="K112" s="6" t="s">
        <v>15</v>
      </c>
      <c r="L112" s="9" t="s">
        <v>534</v>
      </c>
      <c r="M112" s="7" t="s">
        <v>404</v>
      </c>
      <c r="N112" s="7" t="s">
        <v>50</v>
      </c>
      <c r="O112" s="7" t="s">
        <v>50</v>
      </c>
      <c r="P112" s="7" t="s">
        <v>50</v>
      </c>
      <c r="Q112" s="7" t="s">
        <v>50</v>
      </c>
      <c r="R112" s="8" t="s">
        <v>51</v>
      </c>
      <c r="S112" s="7" t="s">
        <v>52</v>
      </c>
      <c r="T112" s="8" t="s">
        <v>53</v>
      </c>
      <c r="U112" s="8" t="s">
        <v>591</v>
      </c>
      <c r="V112" s="7" t="s">
        <v>582</v>
      </c>
      <c r="W112" s="8" t="s">
        <v>414</v>
      </c>
      <c r="X112" s="8" t="s">
        <v>90</v>
      </c>
      <c r="Y112" s="8" t="s">
        <v>405</v>
      </c>
      <c r="Z112">
        <v>65</v>
      </c>
      <c r="AA112">
        <v>117</v>
      </c>
      <c r="AB112" s="19">
        <f t="shared" si="1"/>
        <v>0.55555555555555558</v>
      </c>
      <c r="AC112" t="s">
        <v>84</v>
      </c>
    </row>
    <row r="113" spans="1:29" x14ac:dyDescent="0.25">
      <c r="A113" s="6">
        <v>596</v>
      </c>
      <c r="B113" s="6" t="s">
        <v>200</v>
      </c>
      <c r="C113" s="6" t="s">
        <v>201</v>
      </c>
      <c r="D113" s="6" t="s">
        <v>26</v>
      </c>
      <c r="E113" s="6" t="s">
        <v>202</v>
      </c>
      <c r="F113" s="7">
        <v>2016</v>
      </c>
      <c r="G113" s="7">
        <v>57</v>
      </c>
      <c r="H113" s="7" t="s">
        <v>184</v>
      </c>
      <c r="I113" s="7">
        <v>52</v>
      </c>
      <c r="J113" s="7">
        <v>59</v>
      </c>
      <c r="K113" s="6" t="s">
        <v>15</v>
      </c>
      <c r="L113" s="8" t="s">
        <v>526</v>
      </c>
      <c r="M113" s="8" t="s">
        <v>126</v>
      </c>
      <c r="N113" s="7" t="s">
        <v>50</v>
      </c>
      <c r="O113" s="7" t="s">
        <v>50</v>
      </c>
      <c r="P113" s="7" t="s">
        <v>50</v>
      </c>
      <c r="Q113" s="7" t="s">
        <v>50</v>
      </c>
      <c r="R113" s="8" t="s">
        <v>51</v>
      </c>
      <c r="S113" t="s">
        <v>52</v>
      </c>
      <c r="T113" t="s">
        <v>53</v>
      </c>
      <c r="U113" s="8" t="s">
        <v>591</v>
      </c>
      <c r="V113" s="7" t="s">
        <v>582</v>
      </c>
      <c r="W113" s="11" t="s">
        <v>142</v>
      </c>
      <c r="X113" t="s">
        <v>90</v>
      </c>
      <c r="Y113" t="s">
        <v>365</v>
      </c>
      <c r="Z113">
        <v>152</v>
      </c>
      <c r="AA113">
        <v>229</v>
      </c>
      <c r="AB113" s="19">
        <f t="shared" si="1"/>
        <v>0.66375545851528384</v>
      </c>
      <c r="AC113" t="s">
        <v>118</v>
      </c>
    </row>
    <row r="114" spans="1:29" x14ac:dyDescent="0.25">
      <c r="A114" s="6">
        <v>595</v>
      </c>
      <c r="B114" s="6" t="s">
        <v>198</v>
      </c>
      <c r="C114" s="6" t="s">
        <v>199</v>
      </c>
      <c r="D114" s="6" t="s">
        <v>26</v>
      </c>
      <c r="E114" s="6" t="s">
        <v>180</v>
      </c>
      <c r="F114" s="7">
        <v>2017</v>
      </c>
      <c r="G114" s="7">
        <v>15</v>
      </c>
      <c r="H114" s="7">
        <v>1</v>
      </c>
      <c r="I114" s="7">
        <v>1</v>
      </c>
      <c r="J114" s="7">
        <v>16</v>
      </c>
      <c r="K114" s="6" t="s">
        <v>15</v>
      </c>
      <c r="L114" s="8" t="s">
        <v>525</v>
      </c>
      <c r="M114" s="7" t="s">
        <v>357</v>
      </c>
      <c r="N114" s="7" t="s">
        <v>50</v>
      </c>
      <c r="O114" s="7" t="s">
        <v>50</v>
      </c>
      <c r="P114" s="7" t="s">
        <v>50</v>
      </c>
      <c r="Q114" s="7" t="s">
        <v>50</v>
      </c>
      <c r="R114" s="8" t="s">
        <v>51</v>
      </c>
      <c r="S114" t="s">
        <v>52</v>
      </c>
      <c r="T114" t="s">
        <v>53</v>
      </c>
      <c r="U114" s="8" t="s">
        <v>591</v>
      </c>
      <c r="V114" s="7" t="s">
        <v>582</v>
      </c>
      <c r="W114" s="11" t="s">
        <v>142</v>
      </c>
      <c r="X114" t="s">
        <v>90</v>
      </c>
      <c r="Y114" t="s">
        <v>364</v>
      </c>
      <c r="Z114">
        <v>50</v>
      </c>
      <c r="AA114">
        <v>75</v>
      </c>
      <c r="AB114" s="19">
        <f t="shared" si="1"/>
        <v>0.66666666666666663</v>
      </c>
      <c r="AC114" t="s">
        <v>118</v>
      </c>
    </row>
    <row r="115" spans="1:29" ht="14.25" customHeight="1" x14ac:dyDescent="0.25">
      <c r="A115" s="6">
        <v>1080</v>
      </c>
      <c r="B115" s="6" t="s">
        <v>239</v>
      </c>
      <c r="C115" s="6" t="s">
        <v>240</v>
      </c>
      <c r="D115" s="6" t="s">
        <v>26</v>
      </c>
      <c r="E115" s="6" t="s">
        <v>202</v>
      </c>
      <c r="F115" s="7">
        <v>2017</v>
      </c>
      <c r="G115" s="7">
        <v>64</v>
      </c>
      <c r="H115" s="7" t="s">
        <v>184</v>
      </c>
      <c r="I115" s="7">
        <v>11</v>
      </c>
      <c r="J115" s="7">
        <v>20</v>
      </c>
      <c r="K115" s="6" t="s">
        <v>15</v>
      </c>
      <c r="L115" s="7" t="s">
        <v>536</v>
      </c>
      <c r="M115" s="7" t="s">
        <v>50</v>
      </c>
      <c r="N115" s="7" t="s">
        <v>50</v>
      </c>
      <c r="O115" s="7" t="s">
        <v>50</v>
      </c>
      <c r="P115" s="7" t="s">
        <v>50</v>
      </c>
      <c r="Q115" s="7" t="s">
        <v>50</v>
      </c>
      <c r="R115" s="7" t="s">
        <v>50</v>
      </c>
      <c r="S115" s="7" t="s">
        <v>52</v>
      </c>
      <c r="T115" s="7" t="s">
        <v>53</v>
      </c>
      <c r="U115" s="8" t="s">
        <v>591</v>
      </c>
      <c r="V115" s="7" t="s">
        <v>582</v>
      </c>
      <c r="W115" s="8" t="s">
        <v>454</v>
      </c>
      <c r="X115" s="8" t="s">
        <v>443</v>
      </c>
      <c r="Y115" t="s">
        <v>394</v>
      </c>
      <c r="Z115">
        <v>155</v>
      </c>
      <c r="AA115">
        <v>316</v>
      </c>
      <c r="AB115" s="19">
        <f t="shared" si="1"/>
        <v>0.49050632911392406</v>
      </c>
      <c r="AC115" t="s">
        <v>84</v>
      </c>
    </row>
    <row r="116" spans="1:29" s="20" customFormat="1" ht="14.25" customHeight="1" x14ac:dyDescent="0.25">
      <c r="A116" s="20">
        <v>77</v>
      </c>
      <c r="B116" s="20" t="s">
        <v>24</v>
      </c>
      <c r="C116" s="20" t="s">
        <v>25</v>
      </c>
      <c r="D116" s="20" t="s">
        <v>26</v>
      </c>
      <c r="E116" s="20" t="s">
        <v>27</v>
      </c>
      <c r="F116" s="21">
        <v>2007</v>
      </c>
      <c r="G116" s="21">
        <v>98</v>
      </c>
      <c r="H116" s="21">
        <v>4</v>
      </c>
      <c r="I116" s="21">
        <v>344</v>
      </c>
      <c r="J116" s="21">
        <v>348</v>
      </c>
      <c r="K116" s="20" t="s">
        <v>15</v>
      </c>
      <c r="L116" s="20" t="s">
        <v>516</v>
      </c>
      <c r="M116" s="20" t="s">
        <v>49</v>
      </c>
      <c r="N116" s="20" t="s">
        <v>48</v>
      </c>
      <c r="O116" s="20" t="s">
        <v>50</v>
      </c>
      <c r="P116" s="20" t="s">
        <v>50</v>
      </c>
      <c r="Q116" s="20" t="s">
        <v>50</v>
      </c>
      <c r="R116" s="20" t="s">
        <v>51</v>
      </c>
      <c r="S116" s="20" t="s">
        <v>52</v>
      </c>
      <c r="T116" s="20" t="s">
        <v>53</v>
      </c>
      <c r="U116" s="21" t="s">
        <v>592</v>
      </c>
      <c r="V116" s="21" t="s">
        <v>582</v>
      </c>
      <c r="W116" s="22" t="s">
        <v>67</v>
      </c>
      <c r="X116" s="20" t="s">
        <v>90</v>
      </c>
      <c r="Y116" s="20" t="s">
        <v>119</v>
      </c>
      <c r="Z116" s="25">
        <v>82</v>
      </c>
      <c r="AA116" s="20">
        <v>100</v>
      </c>
      <c r="AB116" s="26">
        <f t="shared" si="1"/>
        <v>0.82</v>
      </c>
      <c r="AC116" s="20" t="s">
        <v>84</v>
      </c>
    </row>
    <row r="117" spans="1:29" s="20" customFormat="1" ht="14.25" customHeight="1" x14ac:dyDescent="0.25">
      <c r="A117" s="20">
        <v>79</v>
      </c>
      <c r="B117" s="20" t="s">
        <v>12</v>
      </c>
      <c r="C117" s="20" t="s">
        <v>13</v>
      </c>
      <c r="E117" s="20" t="s">
        <v>14</v>
      </c>
      <c r="F117" s="21">
        <v>2010</v>
      </c>
      <c r="G117" s="21">
        <v>21</v>
      </c>
      <c r="H117" s="21">
        <v>10</v>
      </c>
      <c r="I117" s="21">
        <v>1318</v>
      </c>
      <c r="J117" s="21">
        <v>1321</v>
      </c>
      <c r="K117" s="20" t="s">
        <v>15</v>
      </c>
      <c r="L117" s="24" t="s">
        <v>517</v>
      </c>
      <c r="M117" s="21" t="s">
        <v>69</v>
      </c>
      <c r="N117" s="20" t="s">
        <v>70</v>
      </c>
      <c r="O117" s="20" t="s">
        <v>50</v>
      </c>
      <c r="P117" s="20" t="s">
        <v>50</v>
      </c>
      <c r="Q117" s="20" t="s">
        <v>484</v>
      </c>
      <c r="R117" s="20" t="s">
        <v>51</v>
      </c>
      <c r="S117" s="20" t="s">
        <v>52</v>
      </c>
      <c r="T117" s="20" t="s">
        <v>53</v>
      </c>
      <c r="U117" s="21" t="s">
        <v>592</v>
      </c>
      <c r="V117" s="21" t="s">
        <v>582</v>
      </c>
      <c r="W117" s="20" t="s">
        <v>80</v>
      </c>
      <c r="X117" s="20" t="s">
        <v>90</v>
      </c>
      <c r="Y117" s="20" t="s">
        <v>120</v>
      </c>
      <c r="Z117" s="20">
        <v>42</v>
      </c>
      <c r="AA117" s="20">
        <v>74</v>
      </c>
      <c r="AB117" s="26">
        <f t="shared" si="1"/>
        <v>0.56756756756756754</v>
      </c>
      <c r="AC117" s="20" t="s">
        <v>84</v>
      </c>
    </row>
    <row r="118" spans="1:29" s="20" customFormat="1" ht="14.25" customHeight="1" x14ac:dyDescent="0.25">
      <c r="A118" s="20">
        <v>1086</v>
      </c>
      <c r="B118" s="20" t="s">
        <v>21</v>
      </c>
      <c r="C118" s="20" t="s">
        <v>22</v>
      </c>
      <c r="E118" s="20" t="s">
        <v>23</v>
      </c>
      <c r="F118" s="21">
        <v>2014</v>
      </c>
      <c r="G118" s="21">
        <v>71</v>
      </c>
      <c r="H118" s="21">
        <v>4</v>
      </c>
      <c r="I118" s="21">
        <v>265</v>
      </c>
      <c r="J118" s="21">
        <v>269</v>
      </c>
      <c r="K118" s="20" t="s">
        <v>15</v>
      </c>
      <c r="L118" s="21" t="s">
        <v>537</v>
      </c>
      <c r="M118" s="20" t="s">
        <v>50</v>
      </c>
      <c r="N118" s="20" t="s">
        <v>109</v>
      </c>
      <c r="O118" s="20" t="s">
        <v>50</v>
      </c>
      <c r="P118" s="20" t="s">
        <v>50</v>
      </c>
      <c r="Q118" s="20" t="s">
        <v>50</v>
      </c>
      <c r="R118" s="20" t="s">
        <v>50</v>
      </c>
      <c r="S118" s="20" t="s">
        <v>52</v>
      </c>
      <c r="T118" s="20" t="s">
        <v>53</v>
      </c>
      <c r="U118" s="21" t="s">
        <v>592</v>
      </c>
      <c r="V118" s="21" t="s">
        <v>582</v>
      </c>
      <c r="W118" s="22" t="s">
        <v>114</v>
      </c>
      <c r="X118" s="20" t="s">
        <v>90</v>
      </c>
      <c r="Y118" s="20" t="s">
        <v>110</v>
      </c>
      <c r="Z118" s="25">
        <f>76%*AA118</f>
        <v>94.24</v>
      </c>
      <c r="AA118" s="20">
        <v>124</v>
      </c>
      <c r="AB118" s="26">
        <f t="shared" si="1"/>
        <v>0.76</v>
      </c>
      <c r="AC118" s="20" t="s">
        <v>118</v>
      </c>
    </row>
    <row r="119" spans="1:29" s="20" customFormat="1" ht="14.25" customHeight="1" x14ac:dyDescent="0.25">
      <c r="A119" s="20">
        <v>597</v>
      </c>
      <c r="B119" s="20" t="s">
        <v>122</v>
      </c>
      <c r="C119" s="20" t="s">
        <v>123</v>
      </c>
      <c r="D119" s="20" t="s">
        <v>26</v>
      </c>
      <c r="E119" s="20" t="s">
        <v>124</v>
      </c>
      <c r="F119" s="21">
        <v>2015</v>
      </c>
      <c r="G119" s="21">
        <v>18</v>
      </c>
      <c r="H119" s="21">
        <v>5</v>
      </c>
      <c r="I119" s="21">
        <v>454</v>
      </c>
      <c r="J119" s="21">
        <v>469</v>
      </c>
      <c r="K119" s="20" t="s">
        <v>15</v>
      </c>
      <c r="L119" s="21" t="s">
        <v>527</v>
      </c>
      <c r="M119" s="20" t="s">
        <v>126</v>
      </c>
      <c r="N119" s="20" t="s">
        <v>125</v>
      </c>
      <c r="O119" s="20" t="s">
        <v>50</v>
      </c>
      <c r="P119" s="20" t="s">
        <v>50</v>
      </c>
      <c r="Q119" s="20" t="s">
        <v>50</v>
      </c>
      <c r="R119" s="20" t="s">
        <v>51</v>
      </c>
      <c r="S119" s="20" t="s">
        <v>52</v>
      </c>
      <c r="T119" s="20" t="s">
        <v>53</v>
      </c>
      <c r="U119" s="21" t="s">
        <v>592</v>
      </c>
      <c r="V119" s="21" t="s">
        <v>582</v>
      </c>
      <c r="W119" s="22" t="s">
        <v>141</v>
      </c>
      <c r="X119" s="20" t="s">
        <v>90</v>
      </c>
      <c r="Y119" s="20" t="s">
        <v>127</v>
      </c>
      <c r="Z119" s="20">
        <v>90</v>
      </c>
      <c r="AA119" s="20">
        <v>110</v>
      </c>
      <c r="AB119" s="26">
        <f t="shared" si="1"/>
        <v>0.81818181818181823</v>
      </c>
      <c r="AC119" s="20" t="s">
        <v>118</v>
      </c>
    </row>
    <row r="120" spans="1:29" s="20" customFormat="1" ht="14.25" customHeight="1" x14ac:dyDescent="0.25">
      <c r="A120" s="20">
        <v>923</v>
      </c>
      <c r="B120" s="20" t="s">
        <v>233</v>
      </c>
      <c r="C120" s="20" t="s">
        <v>234</v>
      </c>
      <c r="D120" s="20" t="s">
        <v>26</v>
      </c>
      <c r="E120" s="20" t="s">
        <v>235</v>
      </c>
      <c r="F120" s="21">
        <v>2015</v>
      </c>
      <c r="G120" s="21">
        <v>129</v>
      </c>
      <c r="H120" s="21">
        <v>9</v>
      </c>
      <c r="I120" s="21">
        <v>1278</v>
      </c>
      <c r="J120" s="21">
        <v>1284</v>
      </c>
      <c r="K120" s="20" t="s">
        <v>15</v>
      </c>
      <c r="L120" s="24" t="s">
        <v>534</v>
      </c>
      <c r="M120" s="21" t="s">
        <v>404</v>
      </c>
      <c r="N120" s="21" t="s">
        <v>50</v>
      </c>
      <c r="O120" s="21" t="s">
        <v>50</v>
      </c>
      <c r="P120" s="21" t="s">
        <v>50</v>
      </c>
      <c r="Q120" s="21" t="s">
        <v>50</v>
      </c>
      <c r="R120" s="21" t="s">
        <v>51</v>
      </c>
      <c r="S120" s="21" t="s">
        <v>52</v>
      </c>
      <c r="T120" s="21" t="s">
        <v>53</v>
      </c>
      <c r="U120" s="21" t="s">
        <v>592</v>
      </c>
      <c r="V120" s="21" t="s">
        <v>582</v>
      </c>
      <c r="W120" s="21" t="s">
        <v>412</v>
      </c>
      <c r="X120" s="21" t="s">
        <v>90</v>
      </c>
      <c r="Y120" s="21" t="s">
        <v>405</v>
      </c>
      <c r="Z120" s="20">
        <v>95</v>
      </c>
      <c r="AA120" s="20">
        <v>117</v>
      </c>
      <c r="AB120" s="26">
        <f t="shared" si="1"/>
        <v>0.81196581196581197</v>
      </c>
      <c r="AC120" s="20" t="s">
        <v>84</v>
      </c>
    </row>
    <row r="121" spans="1:29" s="20" customFormat="1" ht="14.25" customHeight="1" x14ac:dyDescent="0.25">
      <c r="A121" s="20">
        <v>596</v>
      </c>
      <c r="B121" s="20" t="s">
        <v>200</v>
      </c>
      <c r="C121" s="20" t="s">
        <v>201</v>
      </c>
      <c r="D121" s="20" t="s">
        <v>26</v>
      </c>
      <c r="E121" s="20" t="s">
        <v>202</v>
      </c>
      <c r="F121" s="21">
        <v>2016</v>
      </c>
      <c r="G121" s="21">
        <v>57</v>
      </c>
      <c r="H121" s="21" t="s">
        <v>184</v>
      </c>
      <c r="I121" s="21">
        <v>52</v>
      </c>
      <c r="J121" s="21">
        <v>59</v>
      </c>
      <c r="K121" s="20" t="s">
        <v>15</v>
      </c>
      <c r="L121" s="21" t="s">
        <v>526</v>
      </c>
      <c r="M121" s="21" t="s">
        <v>126</v>
      </c>
      <c r="N121" s="21" t="s">
        <v>50</v>
      </c>
      <c r="O121" s="21" t="s">
        <v>50</v>
      </c>
      <c r="P121" s="21" t="s">
        <v>50</v>
      </c>
      <c r="Q121" s="21" t="s">
        <v>50</v>
      </c>
      <c r="R121" s="21" t="s">
        <v>51</v>
      </c>
      <c r="S121" s="20" t="s">
        <v>52</v>
      </c>
      <c r="T121" s="20" t="s">
        <v>53</v>
      </c>
      <c r="U121" s="21" t="s">
        <v>592</v>
      </c>
      <c r="V121" s="21" t="s">
        <v>582</v>
      </c>
      <c r="W121" s="22" t="s">
        <v>141</v>
      </c>
      <c r="X121" s="20" t="s">
        <v>90</v>
      </c>
      <c r="Y121" s="20" t="s">
        <v>365</v>
      </c>
      <c r="Z121" s="20">
        <v>208</v>
      </c>
      <c r="AA121" s="20">
        <v>229</v>
      </c>
      <c r="AB121" s="26">
        <f t="shared" si="1"/>
        <v>0.90829694323144106</v>
      </c>
      <c r="AC121" s="20" t="s">
        <v>118</v>
      </c>
    </row>
    <row r="122" spans="1:29" s="20" customFormat="1" ht="14.25" customHeight="1" x14ac:dyDescent="0.25">
      <c r="A122" s="20">
        <v>832</v>
      </c>
      <c r="B122" s="20" t="s">
        <v>225</v>
      </c>
      <c r="C122" s="20" t="s">
        <v>226</v>
      </c>
      <c r="D122" s="20" t="s">
        <v>26</v>
      </c>
      <c r="E122" s="20" t="s">
        <v>227</v>
      </c>
      <c r="F122" s="21">
        <v>2016</v>
      </c>
      <c r="G122" s="21">
        <v>79</v>
      </c>
      <c r="H122" s="21">
        <v>9</v>
      </c>
      <c r="I122" s="21">
        <v>1588</v>
      </c>
      <c r="J122" s="21">
        <v>1598</v>
      </c>
      <c r="K122" s="20" t="s">
        <v>15</v>
      </c>
      <c r="L122" s="21" t="s">
        <v>531</v>
      </c>
      <c r="M122" s="20" t="s">
        <v>495</v>
      </c>
      <c r="N122" s="21" t="s">
        <v>70</v>
      </c>
      <c r="O122" s="21" t="s">
        <v>50</v>
      </c>
      <c r="P122" s="21" t="s">
        <v>50</v>
      </c>
      <c r="Q122" s="21" t="s">
        <v>50</v>
      </c>
      <c r="R122" s="21" t="s">
        <v>51</v>
      </c>
      <c r="S122" s="20" t="s">
        <v>52</v>
      </c>
      <c r="T122" s="21" t="s">
        <v>53</v>
      </c>
      <c r="U122" s="21" t="s">
        <v>592</v>
      </c>
      <c r="V122" s="21" t="s">
        <v>582</v>
      </c>
      <c r="W122" s="21" t="s">
        <v>428</v>
      </c>
      <c r="X122" s="21" t="s">
        <v>90</v>
      </c>
      <c r="Y122" s="21" t="s">
        <v>493</v>
      </c>
      <c r="Z122" s="20">
        <f>252+186+145</f>
        <v>583</v>
      </c>
      <c r="AA122" s="20">
        <f>277+211+156</f>
        <v>644</v>
      </c>
      <c r="AB122" s="26">
        <f t="shared" si="1"/>
        <v>0.90527950310559002</v>
      </c>
      <c r="AC122" s="20" t="s">
        <v>118</v>
      </c>
    </row>
    <row r="123" spans="1:29" s="20" customFormat="1" ht="14.25" customHeight="1" x14ac:dyDescent="0.25">
      <c r="A123" s="20">
        <v>595</v>
      </c>
      <c r="B123" s="20" t="s">
        <v>198</v>
      </c>
      <c r="C123" s="20" t="s">
        <v>199</v>
      </c>
      <c r="D123" s="20" t="s">
        <v>26</v>
      </c>
      <c r="E123" s="20" t="s">
        <v>180</v>
      </c>
      <c r="F123" s="21">
        <v>2017</v>
      </c>
      <c r="G123" s="21">
        <v>15</v>
      </c>
      <c r="H123" s="21">
        <v>1</v>
      </c>
      <c r="I123" s="21">
        <v>1</v>
      </c>
      <c r="J123" s="21">
        <v>16</v>
      </c>
      <c r="K123" s="20" t="s">
        <v>15</v>
      </c>
      <c r="L123" s="21" t="s">
        <v>525</v>
      </c>
      <c r="M123" s="21" t="s">
        <v>357</v>
      </c>
      <c r="N123" s="21" t="s">
        <v>50</v>
      </c>
      <c r="O123" s="21" t="s">
        <v>50</v>
      </c>
      <c r="P123" s="21" t="s">
        <v>50</v>
      </c>
      <c r="Q123" s="21" t="s">
        <v>50</v>
      </c>
      <c r="R123" s="21" t="s">
        <v>51</v>
      </c>
      <c r="S123" s="20" t="s">
        <v>52</v>
      </c>
      <c r="T123" s="20" t="s">
        <v>53</v>
      </c>
      <c r="U123" s="21" t="s">
        <v>592</v>
      </c>
      <c r="V123" s="21" t="s">
        <v>582</v>
      </c>
      <c r="W123" s="22" t="s">
        <v>141</v>
      </c>
      <c r="X123" s="20" t="s">
        <v>90</v>
      </c>
      <c r="Y123" s="20" t="s">
        <v>364</v>
      </c>
      <c r="Z123" s="20">
        <v>64</v>
      </c>
      <c r="AA123" s="20">
        <v>75</v>
      </c>
      <c r="AB123" s="26">
        <f t="shared" si="1"/>
        <v>0.85333333333333339</v>
      </c>
      <c r="AC123" s="20" t="s">
        <v>118</v>
      </c>
    </row>
    <row r="124" spans="1:29" s="20" customFormat="1" ht="14.25" customHeight="1" x14ac:dyDescent="0.25">
      <c r="A124" s="20">
        <v>1080</v>
      </c>
      <c r="B124" s="20" t="s">
        <v>239</v>
      </c>
      <c r="C124" s="20" t="s">
        <v>240</v>
      </c>
      <c r="D124" s="20" t="s">
        <v>26</v>
      </c>
      <c r="E124" s="20" t="s">
        <v>202</v>
      </c>
      <c r="F124" s="21">
        <v>2017</v>
      </c>
      <c r="G124" s="21">
        <v>64</v>
      </c>
      <c r="H124" s="21" t="s">
        <v>184</v>
      </c>
      <c r="I124" s="21">
        <v>11</v>
      </c>
      <c r="J124" s="21">
        <v>20</v>
      </c>
      <c r="K124" s="20" t="s">
        <v>15</v>
      </c>
      <c r="L124" s="21" t="s">
        <v>536</v>
      </c>
      <c r="M124" s="21" t="s">
        <v>50</v>
      </c>
      <c r="N124" s="21" t="s">
        <v>50</v>
      </c>
      <c r="O124" s="21" t="s">
        <v>50</v>
      </c>
      <c r="P124" s="21" t="s">
        <v>50</v>
      </c>
      <c r="Q124" s="21" t="s">
        <v>50</v>
      </c>
      <c r="R124" s="21" t="s">
        <v>50</v>
      </c>
      <c r="S124" s="21" t="s">
        <v>52</v>
      </c>
      <c r="T124" s="21" t="s">
        <v>53</v>
      </c>
      <c r="U124" s="21" t="s">
        <v>592</v>
      </c>
      <c r="V124" s="21" t="s">
        <v>582</v>
      </c>
      <c r="W124" s="21" t="s">
        <v>449</v>
      </c>
      <c r="X124" s="21" t="s">
        <v>443</v>
      </c>
      <c r="Y124" s="20" t="s">
        <v>394</v>
      </c>
      <c r="Z124" s="20">
        <v>267</v>
      </c>
      <c r="AA124" s="20">
        <v>316</v>
      </c>
      <c r="AB124" s="26">
        <f t="shared" si="1"/>
        <v>0.84493670886075944</v>
      </c>
      <c r="AC124" s="20" t="s">
        <v>84</v>
      </c>
    </row>
    <row r="125" spans="1:29" ht="14.25" customHeight="1" x14ac:dyDescent="0.25">
      <c r="A125" s="6">
        <v>77</v>
      </c>
      <c r="B125" s="6" t="s">
        <v>24</v>
      </c>
      <c r="C125" s="6" t="s">
        <v>25</v>
      </c>
      <c r="D125" s="6" t="s">
        <v>26</v>
      </c>
      <c r="E125" s="6" t="s">
        <v>27</v>
      </c>
      <c r="F125" s="7">
        <v>2007</v>
      </c>
      <c r="G125" s="7">
        <v>98</v>
      </c>
      <c r="H125" s="7">
        <v>4</v>
      </c>
      <c r="I125" s="7">
        <v>344</v>
      </c>
      <c r="J125" s="7">
        <v>348</v>
      </c>
      <c r="K125" t="s">
        <v>15</v>
      </c>
      <c r="L125" t="s">
        <v>516</v>
      </c>
      <c r="M125" t="s">
        <v>49</v>
      </c>
      <c r="N125" t="s">
        <v>48</v>
      </c>
      <c r="O125" t="s">
        <v>50</v>
      </c>
      <c r="P125" t="s">
        <v>50</v>
      </c>
      <c r="Q125" t="s">
        <v>50</v>
      </c>
      <c r="R125" t="s">
        <v>51</v>
      </c>
      <c r="S125" t="s">
        <v>52</v>
      </c>
      <c r="T125" t="s">
        <v>53</v>
      </c>
      <c r="U125" s="8" t="s">
        <v>593</v>
      </c>
      <c r="V125" s="7" t="s">
        <v>582</v>
      </c>
      <c r="W125" s="11" t="s">
        <v>65</v>
      </c>
      <c r="X125" t="s">
        <v>90</v>
      </c>
      <c r="Y125" t="s">
        <v>119</v>
      </c>
      <c r="Z125" s="3">
        <v>93</v>
      </c>
      <c r="AA125">
        <v>100</v>
      </c>
      <c r="AB125" s="19">
        <f t="shared" si="1"/>
        <v>0.93</v>
      </c>
      <c r="AC125" t="s">
        <v>84</v>
      </c>
    </row>
    <row r="126" spans="1:29" ht="14.25" customHeight="1" x14ac:dyDescent="0.25">
      <c r="A126">
        <v>79</v>
      </c>
      <c r="B126" s="6" t="s">
        <v>12</v>
      </c>
      <c r="C126" s="6" t="s">
        <v>13</v>
      </c>
      <c r="D126" s="6"/>
      <c r="E126" s="6" t="s">
        <v>14</v>
      </c>
      <c r="F126" s="7">
        <v>2010</v>
      </c>
      <c r="G126" s="7">
        <v>21</v>
      </c>
      <c r="H126" s="7">
        <v>10</v>
      </c>
      <c r="I126" s="7">
        <v>1318</v>
      </c>
      <c r="J126" s="7">
        <v>1321</v>
      </c>
      <c r="K126" t="s">
        <v>15</v>
      </c>
      <c r="L126" s="9" t="s">
        <v>517</v>
      </c>
      <c r="M126" s="7" t="s">
        <v>69</v>
      </c>
      <c r="N126" t="s">
        <v>70</v>
      </c>
      <c r="O126" t="s">
        <v>50</v>
      </c>
      <c r="P126" t="s">
        <v>50</v>
      </c>
      <c r="Q126" t="s">
        <v>484</v>
      </c>
      <c r="R126" t="s">
        <v>51</v>
      </c>
      <c r="S126" t="s">
        <v>52</v>
      </c>
      <c r="T126" t="s">
        <v>53</v>
      </c>
      <c r="U126" s="8" t="s">
        <v>593</v>
      </c>
      <c r="V126" s="7" t="s">
        <v>582</v>
      </c>
      <c r="W126" t="s">
        <v>82</v>
      </c>
      <c r="X126" t="s">
        <v>90</v>
      </c>
      <c r="Y126" t="s">
        <v>120</v>
      </c>
      <c r="Z126">
        <v>61</v>
      </c>
      <c r="AA126">
        <v>74</v>
      </c>
      <c r="AB126" s="19">
        <f t="shared" si="1"/>
        <v>0.82432432432432434</v>
      </c>
      <c r="AC126" t="s">
        <v>84</v>
      </c>
    </row>
    <row r="127" spans="1:29" ht="14.25" customHeight="1" x14ac:dyDescent="0.25">
      <c r="A127">
        <v>1086</v>
      </c>
      <c r="B127" s="6" t="s">
        <v>21</v>
      </c>
      <c r="C127" s="6" t="s">
        <v>22</v>
      </c>
      <c r="D127" s="6"/>
      <c r="E127" s="6" t="s">
        <v>23</v>
      </c>
      <c r="F127" s="7">
        <v>2014</v>
      </c>
      <c r="G127" s="7">
        <v>71</v>
      </c>
      <c r="H127" s="7">
        <v>4</v>
      </c>
      <c r="I127" s="7">
        <v>265</v>
      </c>
      <c r="J127" s="7">
        <v>269</v>
      </c>
      <c r="K127" t="s">
        <v>15</v>
      </c>
      <c r="L127" s="7" t="s">
        <v>537</v>
      </c>
      <c r="M127" t="s">
        <v>50</v>
      </c>
      <c r="N127" t="s">
        <v>109</v>
      </c>
      <c r="O127" t="s">
        <v>50</v>
      </c>
      <c r="P127" t="s">
        <v>50</v>
      </c>
      <c r="Q127" t="s">
        <v>50</v>
      </c>
      <c r="R127" t="s">
        <v>50</v>
      </c>
      <c r="S127" t="s">
        <v>52</v>
      </c>
      <c r="T127" t="s">
        <v>53</v>
      </c>
      <c r="U127" s="8" t="s">
        <v>593</v>
      </c>
      <c r="V127" s="7" t="s">
        <v>582</v>
      </c>
      <c r="W127" s="11" t="s">
        <v>113</v>
      </c>
      <c r="X127" t="s">
        <v>90</v>
      </c>
      <c r="Y127" t="s">
        <v>110</v>
      </c>
      <c r="Z127" s="3">
        <f>83%*AA127</f>
        <v>102.92</v>
      </c>
      <c r="AA127">
        <v>124</v>
      </c>
      <c r="AB127" s="19">
        <f t="shared" si="1"/>
        <v>0.83</v>
      </c>
      <c r="AC127" t="s">
        <v>118</v>
      </c>
    </row>
    <row r="128" spans="1:29" ht="14.25" customHeight="1" x14ac:dyDescent="0.25">
      <c r="A128" s="6">
        <v>597</v>
      </c>
      <c r="B128" s="6" t="s">
        <v>122</v>
      </c>
      <c r="C128" s="6" t="s">
        <v>123</v>
      </c>
      <c r="D128" s="6" t="s">
        <v>26</v>
      </c>
      <c r="E128" s="6" t="s">
        <v>124</v>
      </c>
      <c r="F128" s="7">
        <v>2015</v>
      </c>
      <c r="G128" s="7">
        <v>18</v>
      </c>
      <c r="H128" s="7">
        <v>5</v>
      </c>
      <c r="I128" s="7">
        <v>454</v>
      </c>
      <c r="J128" s="7">
        <v>469</v>
      </c>
      <c r="K128" t="s">
        <v>15</v>
      </c>
      <c r="L128" s="8" t="s">
        <v>527</v>
      </c>
      <c r="M128" t="s">
        <v>126</v>
      </c>
      <c r="N128" t="s">
        <v>125</v>
      </c>
      <c r="O128" t="s">
        <v>50</v>
      </c>
      <c r="P128" t="s">
        <v>50</v>
      </c>
      <c r="Q128" t="s">
        <v>50</v>
      </c>
      <c r="R128" t="s">
        <v>51</v>
      </c>
      <c r="S128" t="s">
        <v>52</v>
      </c>
      <c r="T128" t="s">
        <v>53</v>
      </c>
      <c r="U128" s="8" t="s">
        <v>593</v>
      </c>
      <c r="V128" s="7" t="s">
        <v>582</v>
      </c>
      <c r="W128" s="11" t="s">
        <v>143</v>
      </c>
      <c r="X128" t="s">
        <v>90</v>
      </c>
      <c r="Y128" t="s">
        <v>127</v>
      </c>
      <c r="Z128">
        <v>103</v>
      </c>
      <c r="AA128">
        <v>110</v>
      </c>
      <c r="AB128" s="19">
        <f t="shared" si="1"/>
        <v>0.9363636363636364</v>
      </c>
      <c r="AC128" t="s">
        <v>118</v>
      </c>
    </row>
    <row r="129" spans="1:29" ht="14.25" customHeight="1" x14ac:dyDescent="0.25">
      <c r="A129" s="6">
        <v>923</v>
      </c>
      <c r="B129" s="6" t="s">
        <v>233</v>
      </c>
      <c r="C129" s="6" t="s">
        <v>234</v>
      </c>
      <c r="D129" s="6" t="s">
        <v>26</v>
      </c>
      <c r="E129" s="6" t="s">
        <v>235</v>
      </c>
      <c r="F129" s="7">
        <v>2015</v>
      </c>
      <c r="G129" s="7">
        <v>129</v>
      </c>
      <c r="H129" s="7">
        <v>9</v>
      </c>
      <c r="I129" s="7">
        <v>1278</v>
      </c>
      <c r="J129" s="7">
        <v>1284</v>
      </c>
      <c r="K129" s="6" t="s">
        <v>15</v>
      </c>
      <c r="L129" s="9" t="s">
        <v>534</v>
      </c>
      <c r="M129" s="7" t="s">
        <v>404</v>
      </c>
      <c r="N129" s="7" t="s">
        <v>50</v>
      </c>
      <c r="O129" s="7" t="s">
        <v>50</v>
      </c>
      <c r="P129" s="7" t="s">
        <v>50</v>
      </c>
      <c r="Q129" s="7" t="s">
        <v>50</v>
      </c>
      <c r="R129" s="8" t="s">
        <v>51</v>
      </c>
      <c r="S129" s="7" t="s">
        <v>52</v>
      </c>
      <c r="T129" s="8" t="s">
        <v>53</v>
      </c>
      <c r="U129" s="8" t="s">
        <v>593</v>
      </c>
      <c r="V129" s="7" t="s">
        <v>582</v>
      </c>
      <c r="W129" s="8" t="s">
        <v>411</v>
      </c>
      <c r="X129" s="8" t="s">
        <v>90</v>
      </c>
      <c r="Y129" s="8" t="s">
        <v>405</v>
      </c>
      <c r="Z129">
        <v>109</v>
      </c>
      <c r="AA129">
        <v>117</v>
      </c>
      <c r="AB129" s="19">
        <f t="shared" si="1"/>
        <v>0.93162393162393164</v>
      </c>
      <c r="AC129" t="s">
        <v>84</v>
      </c>
    </row>
    <row r="130" spans="1:29" ht="14.25" customHeight="1" x14ac:dyDescent="0.25">
      <c r="A130" s="6">
        <v>596</v>
      </c>
      <c r="B130" s="6" t="s">
        <v>200</v>
      </c>
      <c r="C130" s="6" t="s">
        <v>201</v>
      </c>
      <c r="D130" s="6" t="s">
        <v>26</v>
      </c>
      <c r="E130" s="6" t="s">
        <v>202</v>
      </c>
      <c r="F130" s="7">
        <v>2016</v>
      </c>
      <c r="G130" s="7">
        <v>57</v>
      </c>
      <c r="H130" s="7" t="s">
        <v>184</v>
      </c>
      <c r="I130" s="7">
        <v>52</v>
      </c>
      <c r="J130" s="7">
        <v>59</v>
      </c>
      <c r="K130" s="6" t="s">
        <v>15</v>
      </c>
      <c r="L130" s="8" t="s">
        <v>526</v>
      </c>
      <c r="M130" s="8" t="s">
        <v>126</v>
      </c>
      <c r="N130" s="7" t="s">
        <v>50</v>
      </c>
      <c r="O130" s="7" t="s">
        <v>50</v>
      </c>
      <c r="P130" s="7" t="s">
        <v>50</v>
      </c>
      <c r="Q130" s="7" t="s">
        <v>50</v>
      </c>
      <c r="R130" s="8" t="s">
        <v>51</v>
      </c>
      <c r="S130" t="s">
        <v>52</v>
      </c>
      <c r="T130" t="s">
        <v>53</v>
      </c>
      <c r="U130" s="8" t="s">
        <v>593</v>
      </c>
      <c r="V130" s="7" t="s">
        <v>582</v>
      </c>
      <c r="W130" s="11" t="s">
        <v>143</v>
      </c>
      <c r="X130" t="s">
        <v>90</v>
      </c>
      <c r="Y130" t="s">
        <v>365</v>
      </c>
      <c r="Z130">
        <v>219</v>
      </c>
      <c r="AA130">
        <v>229</v>
      </c>
      <c r="AB130" s="19">
        <f t="shared" ref="AB130:AB190" si="2">Z130/AA130</f>
        <v>0.95633187772925765</v>
      </c>
      <c r="AC130" t="s">
        <v>118</v>
      </c>
    </row>
    <row r="131" spans="1:29" ht="14.25" customHeight="1" x14ac:dyDescent="0.25">
      <c r="A131" s="6">
        <v>832</v>
      </c>
      <c r="B131" s="6" t="s">
        <v>225</v>
      </c>
      <c r="C131" s="6" t="s">
        <v>226</v>
      </c>
      <c r="D131" s="6" t="s">
        <v>26</v>
      </c>
      <c r="E131" s="6" t="s">
        <v>227</v>
      </c>
      <c r="F131" s="7">
        <v>2016</v>
      </c>
      <c r="G131" s="7">
        <v>79</v>
      </c>
      <c r="H131" s="7">
        <v>9</v>
      </c>
      <c r="I131" s="7">
        <v>1588</v>
      </c>
      <c r="J131" s="7">
        <v>1598</v>
      </c>
      <c r="K131" s="6" t="s">
        <v>15</v>
      </c>
      <c r="L131" s="8" t="s">
        <v>531</v>
      </c>
      <c r="M131" s="6" t="s">
        <v>495</v>
      </c>
      <c r="N131" s="7" t="s">
        <v>70</v>
      </c>
      <c r="O131" s="7" t="s">
        <v>50</v>
      </c>
      <c r="P131" s="7" t="s">
        <v>50</v>
      </c>
      <c r="Q131" s="7" t="s">
        <v>50</v>
      </c>
      <c r="R131" s="7" t="s">
        <v>51</v>
      </c>
      <c r="S131" t="s">
        <v>52</v>
      </c>
      <c r="T131" s="8" t="s">
        <v>53</v>
      </c>
      <c r="U131" s="8" t="s">
        <v>593</v>
      </c>
      <c r="V131" s="7" t="s">
        <v>582</v>
      </c>
      <c r="W131" s="8" t="s">
        <v>427</v>
      </c>
      <c r="X131" s="8" t="s">
        <v>90</v>
      </c>
      <c r="Y131" s="8" t="s">
        <v>493</v>
      </c>
      <c r="Z131">
        <f>263+201+149</f>
        <v>613</v>
      </c>
      <c r="AA131">
        <f>277+211+156</f>
        <v>644</v>
      </c>
      <c r="AB131" s="19">
        <f t="shared" si="2"/>
        <v>0.95186335403726707</v>
      </c>
      <c r="AC131" t="s">
        <v>118</v>
      </c>
    </row>
    <row r="132" spans="1:29" ht="14.25" customHeight="1" x14ac:dyDescent="0.25">
      <c r="A132" s="6">
        <v>595</v>
      </c>
      <c r="B132" s="6" t="s">
        <v>198</v>
      </c>
      <c r="C132" s="6" t="s">
        <v>199</v>
      </c>
      <c r="D132" s="6" t="s">
        <v>26</v>
      </c>
      <c r="E132" s="6" t="s">
        <v>180</v>
      </c>
      <c r="F132" s="7">
        <v>2017</v>
      </c>
      <c r="G132" s="7">
        <v>15</v>
      </c>
      <c r="H132" s="7">
        <v>1</v>
      </c>
      <c r="I132" s="7">
        <v>1</v>
      </c>
      <c r="J132" s="7">
        <v>16</v>
      </c>
      <c r="K132" s="6" t="s">
        <v>15</v>
      </c>
      <c r="L132" s="8" t="s">
        <v>525</v>
      </c>
      <c r="M132" s="7" t="s">
        <v>357</v>
      </c>
      <c r="N132" s="7" t="s">
        <v>50</v>
      </c>
      <c r="O132" s="7" t="s">
        <v>50</v>
      </c>
      <c r="P132" s="7" t="s">
        <v>50</v>
      </c>
      <c r="Q132" s="7" t="s">
        <v>50</v>
      </c>
      <c r="R132" s="8" t="s">
        <v>51</v>
      </c>
      <c r="S132" t="s">
        <v>52</v>
      </c>
      <c r="T132" t="s">
        <v>53</v>
      </c>
      <c r="U132" s="8" t="s">
        <v>593</v>
      </c>
      <c r="V132" s="7" t="s">
        <v>582</v>
      </c>
      <c r="W132" s="11" t="s">
        <v>143</v>
      </c>
      <c r="X132" t="s">
        <v>90</v>
      </c>
      <c r="Y132" t="s">
        <v>364</v>
      </c>
      <c r="Z132">
        <v>71</v>
      </c>
      <c r="AA132">
        <v>75</v>
      </c>
      <c r="AB132" s="19">
        <f t="shared" si="2"/>
        <v>0.94666666666666666</v>
      </c>
      <c r="AC132" t="s">
        <v>118</v>
      </c>
    </row>
    <row r="133" spans="1:29" ht="14.25" customHeight="1" x14ac:dyDescent="0.25">
      <c r="A133" s="6">
        <v>1080</v>
      </c>
      <c r="B133" s="6" t="s">
        <v>239</v>
      </c>
      <c r="C133" s="6" t="s">
        <v>240</v>
      </c>
      <c r="D133" s="6" t="s">
        <v>26</v>
      </c>
      <c r="E133" s="6" t="s">
        <v>202</v>
      </c>
      <c r="F133" s="7">
        <v>2017</v>
      </c>
      <c r="G133" s="7">
        <v>64</v>
      </c>
      <c r="H133" s="7" t="s">
        <v>184</v>
      </c>
      <c r="I133" s="7">
        <v>11</v>
      </c>
      <c r="J133" s="7">
        <v>20</v>
      </c>
      <c r="K133" s="6" t="s">
        <v>15</v>
      </c>
      <c r="L133" s="7" t="s">
        <v>536</v>
      </c>
      <c r="M133" s="7" t="s">
        <v>50</v>
      </c>
      <c r="N133" s="7" t="s">
        <v>50</v>
      </c>
      <c r="O133" s="7" t="s">
        <v>50</v>
      </c>
      <c r="P133" s="7" t="s">
        <v>50</v>
      </c>
      <c r="Q133" s="7" t="s">
        <v>50</v>
      </c>
      <c r="R133" s="7" t="s">
        <v>50</v>
      </c>
      <c r="S133" s="7" t="s">
        <v>52</v>
      </c>
      <c r="T133" s="7" t="s">
        <v>53</v>
      </c>
      <c r="U133" s="8" t="s">
        <v>593</v>
      </c>
      <c r="V133" s="7" t="s">
        <v>582</v>
      </c>
      <c r="W133" s="8" t="s">
        <v>447</v>
      </c>
      <c r="X133" s="8" t="s">
        <v>443</v>
      </c>
      <c r="Y133" t="s">
        <v>394</v>
      </c>
      <c r="Z133">
        <v>312</v>
      </c>
      <c r="AA133">
        <v>316</v>
      </c>
      <c r="AB133" s="19">
        <f t="shared" si="2"/>
        <v>0.98734177215189878</v>
      </c>
      <c r="AC133" t="s">
        <v>84</v>
      </c>
    </row>
    <row r="134" spans="1:29" s="20" customFormat="1" ht="14.25" customHeight="1" x14ac:dyDescent="0.25">
      <c r="A134" s="20">
        <v>77</v>
      </c>
      <c r="B134" s="20" t="s">
        <v>24</v>
      </c>
      <c r="C134" s="20" t="s">
        <v>25</v>
      </c>
      <c r="D134" s="20" t="s">
        <v>26</v>
      </c>
      <c r="E134" s="20" t="s">
        <v>27</v>
      </c>
      <c r="F134" s="21">
        <v>2007</v>
      </c>
      <c r="G134" s="21">
        <v>98</v>
      </c>
      <c r="H134" s="21">
        <v>4</v>
      </c>
      <c r="I134" s="21">
        <v>344</v>
      </c>
      <c r="J134" s="21">
        <v>348</v>
      </c>
      <c r="K134" s="20" t="s">
        <v>15</v>
      </c>
      <c r="L134" s="20" t="s">
        <v>516</v>
      </c>
      <c r="M134" s="20" t="s">
        <v>49</v>
      </c>
      <c r="N134" s="20" t="s">
        <v>48</v>
      </c>
      <c r="O134" s="20" t="s">
        <v>50</v>
      </c>
      <c r="P134" s="20" t="s">
        <v>50</v>
      </c>
      <c r="Q134" s="20" t="s">
        <v>50</v>
      </c>
      <c r="R134" s="20" t="s">
        <v>51</v>
      </c>
      <c r="S134" s="20" t="s">
        <v>52</v>
      </c>
      <c r="T134" s="20" t="s">
        <v>53</v>
      </c>
      <c r="U134" s="21" t="s">
        <v>594</v>
      </c>
      <c r="V134" s="21" t="s">
        <v>582</v>
      </c>
      <c r="W134" s="22" t="s">
        <v>66</v>
      </c>
      <c r="X134" s="20" t="s">
        <v>90</v>
      </c>
      <c r="Y134" s="20" t="s">
        <v>119</v>
      </c>
      <c r="Z134" s="25">
        <v>82</v>
      </c>
      <c r="AA134" s="20">
        <v>100</v>
      </c>
      <c r="AB134" s="26">
        <f t="shared" si="2"/>
        <v>0.82</v>
      </c>
      <c r="AC134" s="20" t="s">
        <v>84</v>
      </c>
    </row>
    <row r="135" spans="1:29" s="20" customFormat="1" ht="14.25" customHeight="1" x14ac:dyDescent="0.25">
      <c r="A135" s="20">
        <v>79</v>
      </c>
      <c r="B135" s="20" t="s">
        <v>12</v>
      </c>
      <c r="C135" s="20" t="s">
        <v>13</v>
      </c>
      <c r="E135" s="20" t="s">
        <v>14</v>
      </c>
      <c r="F135" s="21">
        <v>2010</v>
      </c>
      <c r="G135" s="21">
        <v>21</v>
      </c>
      <c r="H135" s="21">
        <v>10</v>
      </c>
      <c r="I135" s="21">
        <v>1318</v>
      </c>
      <c r="J135" s="21">
        <v>1321</v>
      </c>
      <c r="K135" s="20" t="s">
        <v>15</v>
      </c>
      <c r="L135" s="24" t="s">
        <v>517</v>
      </c>
      <c r="M135" s="21" t="s">
        <v>69</v>
      </c>
      <c r="N135" s="20" t="s">
        <v>70</v>
      </c>
      <c r="O135" s="20" t="s">
        <v>50</v>
      </c>
      <c r="P135" s="20" t="s">
        <v>50</v>
      </c>
      <c r="Q135" s="20" t="s">
        <v>484</v>
      </c>
      <c r="R135" s="20" t="s">
        <v>51</v>
      </c>
      <c r="S135" s="20" t="s">
        <v>52</v>
      </c>
      <c r="T135" s="20" t="s">
        <v>53</v>
      </c>
      <c r="U135" s="21" t="s">
        <v>594</v>
      </c>
      <c r="V135" s="21" t="s">
        <v>582</v>
      </c>
      <c r="W135" s="20" t="s">
        <v>79</v>
      </c>
      <c r="X135" s="20" t="s">
        <v>90</v>
      </c>
      <c r="Y135" s="20" t="s">
        <v>120</v>
      </c>
      <c r="Z135" s="20">
        <v>73</v>
      </c>
      <c r="AA135" s="20">
        <v>74</v>
      </c>
      <c r="AB135" s="26">
        <f t="shared" si="2"/>
        <v>0.98648648648648651</v>
      </c>
      <c r="AC135" s="20" t="s">
        <v>84</v>
      </c>
    </row>
    <row r="136" spans="1:29" s="20" customFormat="1" ht="14.25" customHeight="1" x14ac:dyDescent="0.25">
      <c r="A136" s="20">
        <v>1086</v>
      </c>
      <c r="B136" s="20" t="s">
        <v>21</v>
      </c>
      <c r="C136" s="20" t="s">
        <v>22</v>
      </c>
      <c r="E136" s="20" t="s">
        <v>23</v>
      </c>
      <c r="F136" s="21">
        <v>2014</v>
      </c>
      <c r="G136" s="21">
        <v>71</v>
      </c>
      <c r="H136" s="21">
        <v>4</v>
      </c>
      <c r="I136" s="21">
        <v>265</v>
      </c>
      <c r="J136" s="21">
        <v>269</v>
      </c>
      <c r="K136" s="20" t="s">
        <v>15</v>
      </c>
      <c r="L136" s="21" t="s">
        <v>537</v>
      </c>
      <c r="M136" s="20" t="s">
        <v>50</v>
      </c>
      <c r="N136" s="20" t="s">
        <v>109</v>
      </c>
      <c r="O136" s="20" t="s">
        <v>50</v>
      </c>
      <c r="P136" s="20" t="s">
        <v>50</v>
      </c>
      <c r="Q136" s="20" t="s">
        <v>50</v>
      </c>
      <c r="R136" s="20" t="s">
        <v>50</v>
      </c>
      <c r="S136" s="20" t="s">
        <v>52</v>
      </c>
      <c r="T136" s="20" t="s">
        <v>53</v>
      </c>
      <c r="U136" s="21" t="s">
        <v>594</v>
      </c>
      <c r="V136" s="21" t="s">
        <v>582</v>
      </c>
      <c r="W136" s="22" t="s">
        <v>117</v>
      </c>
      <c r="X136" s="20" t="s">
        <v>90</v>
      </c>
      <c r="Y136" s="20" t="s">
        <v>110</v>
      </c>
      <c r="Z136" s="25">
        <f>40%*AA136</f>
        <v>49.6</v>
      </c>
      <c r="AA136" s="20">
        <v>124</v>
      </c>
      <c r="AB136" s="26">
        <f t="shared" si="2"/>
        <v>0.4</v>
      </c>
      <c r="AC136" s="20" t="s">
        <v>118</v>
      </c>
    </row>
    <row r="137" spans="1:29" s="20" customFormat="1" ht="14.25" customHeight="1" x14ac:dyDescent="0.25">
      <c r="A137" s="20">
        <v>597</v>
      </c>
      <c r="B137" s="20" t="s">
        <v>122</v>
      </c>
      <c r="C137" s="20" t="s">
        <v>123</v>
      </c>
      <c r="D137" s="20" t="s">
        <v>26</v>
      </c>
      <c r="E137" s="20" t="s">
        <v>124</v>
      </c>
      <c r="F137" s="21">
        <v>2015</v>
      </c>
      <c r="G137" s="21">
        <v>18</v>
      </c>
      <c r="H137" s="21">
        <v>5</v>
      </c>
      <c r="I137" s="21">
        <v>454</v>
      </c>
      <c r="J137" s="21">
        <v>469</v>
      </c>
      <c r="K137" s="20" t="s">
        <v>15</v>
      </c>
      <c r="L137" s="21" t="s">
        <v>527</v>
      </c>
      <c r="M137" s="20" t="s">
        <v>126</v>
      </c>
      <c r="N137" s="20" t="s">
        <v>125</v>
      </c>
      <c r="O137" s="20" t="s">
        <v>50</v>
      </c>
      <c r="P137" s="20" t="s">
        <v>50</v>
      </c>
      <c r="Q137" s="20" t="s">
        <v>50</v>
      </c>
      <c r="R137" s="20" t="s">
        <v>51</v>
      </c>
      <c r="S137" s="20" t="s">
        <v>52</v>
      </c>
      <c r="T137" s="20" t="s">
        <v>53</v>
      </c>
      <c r="U137" s="21" t="s">
        <v>594</v>
      </c>
      <c r="V137" s="21" t="s">
        <v>582</v>
      </c>
      <c r="W137" s="22" t="s">
        <v>145</v>
      </c>
      <c r="X137" s="20" t="s">
        <v>90</v>
      </c>
      <c r="Y137" s="20" t="s">
        <v>127</v>
      </c>
      <c r="Z137" s="20">
        <v>98</v>
      </c>
      <c r="AA137" s="20">
        <v>110</v>
      </c>
      <c r="AB137" s="26">
        <f t="shared" si="2"/>
        <v>0.89090909090909087</v>
      </c>
      <c r="AC137" s="20" t="s">
        <v>118</v>
      </c>
    </row>
    <row r="138" spans="1:29" s="20" customFormat="1" ht="14.25" customHeight="1" x14ac:dyDescent="0.25">
      <c r="A138" s="20">
        <v>923</v>
      </c>
      <c r="B138" s="20" t="s">
        <v>233</v>
      </c>
      <c r="C138" s="20" t="s">
        <v>234</v>
      </c>
      <c r="D138" s="20" t="s">
        <v>26</v>
      </c>
      <c r="E138" s="20" t="s">
        <v>235</v>
      </c>
      <c r="F138" s="21">
        <v>2015</v>
      </c>
      <c r="G138" s="21">
        <v>129</v>
      </c>
      <c r="H138" s="21">
        <v>9</v>
      </c>
      <c r="I138" s="21">
        <v>1278</v>
      </c>
      <c r="J138" s="21">
        <v>1284</v>
      </c>
      <c r="K138" s="20" t="s">
        <v>15</v>
      </c>
      <c r="L138" s="24" t="s">
        <v>534</v>
      </c>
      <c r="M138" s="21" t="s">
        <v>404</v>
      </c>
      <c r="N138" s="21" t="s">
        <v>50</v>
      </c>
      <c r="O138" s="21" t="s">
        <v>50</v>
      </c>
      <c r="P138" s="21" t="s">
        <v>50</v>
      </c>
      <c r="Q138" s="21" t="s">
        <v>50</v>
      </c>
      <c r="R138" s="21" t="s">
        <v>51</v>
      </c>
      <c r="S138" s="21" t="s">
        <v>52</v>
      </c>
      <c r="T138" s="21" t="s">
        <v>53</v>
      </c>
      <c r="U138" s="21" t="s">
        <v>594</v>
      </c>
      <c r="V138" s="21" t="s">
        <v>582</v>
      </c>
      <c r="W138" s="21" t="s">
        <v>415</v>
      </c>
      <c r="X138" s="21" t="s">
        <v>90</v>
      </c>
      <c r="Y138" s="21" t="s">
        <v>405</v>
      </c>
      <c r="Z138" s="20">
        <v>108</v>
      </c>
      <c r="AA138" s="20">
        <v>117</v>
      </c>
      <c r="AB138" s="26">
        <f t="shared" si="2"/>
        <v>0.92307692307692313</v>
      </c>
      <c r="AC138" s="20" t="s">
        <v>84</v>
      </c>
    </row>
    <row r="139" spans="1:29" s="20" customFormat="1" ht="14.25" customHeight="1" x14ac:dyDescent="0.25">
      <c r="A139" s="20">
        <v>596</v>
      </c>
      <c r="B139" s="20" t="s">
        <v>200</v>
      </c>
      <c r="C139" s="20" t="s">
        <v>201</v>
      </c>
      <c r="D139" s="20" t="s">
        <v>26</v>
      </c>
      <c r="E139" s="20" t="s">
        <v>202</v>
      </c>
      <c r="F139" s="21">
        <v>2016</v>
      </c>
      <c r="G139" s="21">
        <v>57</v>
      </c>
      <c r="H139" s="21" t="s">
        <v>184</v>
      </c>
      <c r="I139" s="21">
        <v>52</v>
      </c>
      <c r="J139" s="21">
        <v>59</v>
      </c>
      <c r="K139" s="20" t="s">
        <v>15</v>
      </c>
      <c r="L139" s="21" t="s">
        <v>526</v>
      </c>
      <c r="M139" s="21" t="s">
        <v>126</v>
      </c>
      <c r="N139" s="21" t="s">
        <v>50</v>
      </c>
      <c r="O139" s="21" t="s">
        <v>50</v>
      </c>
      <c r="P139" s="21" t="s">
        <v>50</v>
      </c>
      <c r="Q139" s="21" t="s">
        <v>50</v>
      </c>
      <c r="R139" s="21" t="s">
        <v>51</v>
      </c>
      <c r="S139" s="20" t="s">
        <v>52</v>
      </c>
      <c r="T139" s="20" t="s">
        <v>53</v>
      </c>
      <c r="U139" s="21" t="s">
        <v>594</v>
      </c>
      <c r="V139" s="21" t="s">
        <v>582</v>
      </c>
      <c r="W139" s="22" t="s">
        <v>145</v>
      </c>
      <c r="X139" s="20" t="s">
        <v>90</v>
      </c>
      <c r="Y139" s="20" t="s">
        <v>365</v>
      </c>
      <c r="Z139" s="20">
        <v>212</v>
      </c>
      <c r="AA139" s="20">
        <v>229</v>
      </c>
      <c r="AB139" s="26">
        <f t="shared" si="2"/>
        <v>0.92576419213973804</v>
      </c>
      <c r="AC139" s="20" t="s">
        <v>118</v>
      </c>
    </row>
    <row r="140" spans="1:29" s="20" customFormat="1" ht="14.25" customHeight="1" x14ac:dyDescent="0.25">
      <c r="A140" s="20">
        <v>832</v>
      </c>
      <c r="B140" s="20" t="s">
        <v>225</v>
      </c>
      <c r="C140" s="20" t="s">
        <v>226</v>
      </c>
      <c r="D140" s="20" t="s">
        <v>26</v>
      </c>
      <c r="E140" s="20" t="s">
        <v>227</v>
      </c>
      <c r="F140" s="21">
        <v>2016</v>
      </c>
      <c r="G140" s="21">
        <v>79</v>
      </c>
      <c r="H140" s="21">
        <v>9</v>
      </c>
      <c r="I140" s="21">
        <v>1588</v>
      </c>
      <c r="J140" s="21">
        <v>1598</v>
      </c>
      <c r="K140" s="20" t="s">
        <v>15</v>
      </c>
      <c r="L140" s="21" t="s">
        <v>531</v>
      </c>
      <c r="M140" s="20" t="s">
        <v>495</v>
      </c>
      <c r="N140" s="21" t="s">
        <v>70</v>
      </c>
      <c r="O140" s="21" t="s">
        <v>50</v>
      </c>
      <c r="P140" s="21" t="s">
        <v>50</v>
      </c>
      <c r="Q140" s="21" t="s">
        <v>50</v>
      </c>
      <c r="R140" s="21" t="s">
        <v>51</v>
      </c>
      <c r="S140" s="20" t="s">
        <v>52</v>
      </c>
      <c r="T140" s="21" t="s">
        <v>53</v>
      </c>
      <c r="U140" s="21" t="s">
        <v>594</v>
      </c>
      <c r="V140" s="21" t="s">
        <v>582</v>
      </c>
      <c r="W140" s="21" t="s">
        <v>429</v>
      </c>
      <c r="X140" s="21" t="s">
        <v>90</v>
      </c>
      <c r="Y140" s="21" t="s">
        <v>493</v>
      </c>
      <c r="Z140" s="20">
        <f>256+191+147</f>
        <v>594</v>
      </c>
      <c r="AA140" s="20">
        <f>277+211+156</f>
        <v>644</v>
      </c>
      <c r="AB140" s="26">
        <f t="shared" si="2"/>
        <v>0.92236024844720499</v>
      </c>
      <c r="AC140" s="20" t="s">
        <v>118</v>
      </c>
    </row>
    <row r="141" spans="1:29" s="20" customFormat="1" ht="14.25" customHeight="1" x14ac:dyDescent="0.25">
      <c r="A141" s="20">
        <v>595</v>
      </c>
      <c r="B141" s="20" t="s">
        <v>198</v>
      </c>
      <c r="C141" s="20" t="s">
        <v>199</v>
      </c>
      <c r="D141" s="20" t="s">
        <v>26</v>
      </c>
      <c r="E141" s="20" t="s">
        <v>180</v>
      </c>
      <c r="F141" s="21">
        <v>2017</v>
      </c>
      <c r="G141" s="21">
        <v>15</v>
      </c>
      <c r="H141" s="21">
        <v>1</v>
      </c>
      <c r="I141" s="21">
        <v>1</v>
      </c>
      <c r="J141" s="21">
        <v>16</v>
      </c>
      <c r="K141" s="20" t="s">
        <v>15</v>
      </c>
      <c r="L141" s="21" t="s">
        <v>525</v>
      </c>
      <c r="M141" s="21" t="s">
        <v>357</v>
      </c>
      <c r="N141" s="21" t="s">
        <v>50</v>
      </c>
      <c r="O141" s="21" t="s">
        <v>50</v>
      </c>
      <c r="P141" s="21" t="s">
        <v>50</v>
      </c>
      <c r="Q141" s="21" t="s">
        <v>50</v>
      </c>
      <c r="R141" s="21" t="s">
        <v>51</v>
      </c>
      <c r="S141" s="20" t="s">
        <v>52</v>
      </c>
      <c r="T141" s="20" t="s">
        <v>53</v>
      </c>
      <c r="U141" s="21" t="s">
        <v>594</v>
      </c>
      <c r="V141" s="21" t="s">
        <v>582</v>
      </c>
      <c r="W141" s="22" t="s">
        <v>145</v>
      </c>
      <c r="X141" s="20" t="s">
        <v>90</v>
      </c>
      <c r="Y141" s="20" t="s">
        <v>364</v>
      </c>
      <c r="Z141" s="20">
        <v>69</v>
      </c>
      <c r="AA141" s="20">
        <v>75</v>
      </c>
      <c r="AB141" s="26">
        <f t="shared" si="2"/>
        <v>0.92</v>
      </c>
      <c r="AC141" s="20" t="s">
        <v>118</v>
      </c>
    </row>
    <row r="142" spans="1:29" s="20" customFormat="1" x14ac:dyDescent="0.25">
      <c r="A142" s="20">
        <v>1080</v>
      </c>
      <c r="B142" s="20" t="s">
        <v>239</v>
      </c>
      <c r="C142" s="20" t="s">
        <v>240</v>
      </c>
      <c r="D142" s="20" t="s">
        <v>26</v>
      </c>
      <c r="E142" s="20" t="s">
        <v>202</v>
      </c>
      <c r="F142" s="21">
        <v>2017</v>
      </c>
      <c r="G142" s="21">
        <v>64</v>
      </c>
      <c r="H142" s="21" t="s">
        <v>184</v>
      </c>
      <c r="I142" s="21">
        <v>11</v>
      </c>
      <c r="J142" s="21">
        <v>20</v>
      </c>
      <c r="K142" s="20" t="s">
        <v>15</v>
      </c>
      <c r="L142" s="21" t="s">
        <v>536</v>
      </c>
      <c r="M142" s="21" t="s">
        <v>50</v>
      </c>
      <c r="N142" s="21" t="s">
        <v>50</v>
      </c>
      <c r="O142" s="21" t="s">
        <v>50</v>
      </c>
      <c r="P142" s="21" t="s">
        <v>50</v>
      </c>
      <c r="Q142" s="21" t="s">
        <v>50</v>
      </c>
      <c r="R142" s="21" t="s">
        <v>50</v>
      </c>
      <c r="S142" s="21" t="s">
        <v>52</v>
      </c>
      <c r="T142" s="21" t="s">
        <v>53</v>
      </c>
      <c r="U142" s="21" t="s">
        <v>594</v>
      </c>
      <c r="V142" s="21" t="s">
        <v>582</v>
      </c>
      <c r="W142" s="21" t="s">
        <v>448</v>
      </c>
      <c r="X142" s="21" t="s">
        <v>443</v>
      </c>
      <c r="Y142" s="20" t="s">
        <v>394</v>
      </c>
      <c r="Z142" s="20">
        <v>295</v>
      </c>
      <c r="AA142" s="20">
        <v>316</v>
      </c>
      <c r="AB142" s="26">
        <f t="shared" si="2"/>
        <v>0.93354430379746833</v>
      </c>
      <c r="AC142" s="20" t="s">
        <v>84</v>
      </c>
    </row>
    <row r="143" spans="1:29" x14ac:dyDescent="0.25">
      <c r="A143" s="6">
        <v>597</v>
      </c>
      <c r="B143" s="6" t="s">
        <v>122</v>
      </c>
      <c r="C143" s="6" t="s">
        <v>123</v>
      </c>
      <c r="D143" s="6" t="s">
        <v>26</v>
      </c>
      <c r="E143" s="6" t="s">
        <v>124</v>
      </c>
      <c r="F143" s="7">
        <v>2015</v>
      </c>
      <c r="G143" s="7">
        <v>18</v>
      </c>
      <c r="H143" s="7">
        <v>5</v>
      </c>
      <c r="I143" s="7">
        <v>454</v>
      </c>
      <c r="J143" s="7">
        <v>469</v>
      </c>
      <c r="K143" t="s">
        <v>15</v>
      </c>
      <c r="L143" s="8" t="s">
        <v>527</v>
      </c>
      <c r="M143" t="s">
        <v>126</v>
      </c>
      <c r="N143" t="s">
        <v>125</v>
      </c>
      <c r="O143" t="s">
        <v>50</v>
      </c>
      <c r="P143" t="s">
        <v>50</v>
      </c>
      <c r="Q143" t="s">
        <v>50</v>
      </c>
      <c r="R143" t="s">
        <v>51</v>
      </c>
      <c r="S143" t="s">
        <v>52</v>
      </c>
      <c r="T143" t="s">
        <v>53</v>
      </c>
      <c r="U143" s="8" t="s">
        <v>595</v>
      </c>
      <c r="V143" s="7" t="s">
        <v>582</v>
      </c>
      <c r="W143" s="11" t="s">
        <v>140</v>
      </c>
      <c r="X143" t="s">
        <v>90</v>
      </c>
      <c r="Y143" t="s">
        <v>127</v>
      </c>
      <c r="Z143">
        <v>57</v>
      </c>
      <c r="AA143">
        <v>110</v>
      </c>
      <c r="AB143" s="19">
        <f t="shared" si="2"/>
        <v>0.51818181818181819</v>
      </c>
      <c r="AC143" t="s">
        <v>118</v>
      </c>
    </row>
    <row r="144" spans="1:29" x14ac:dyDescent="0.25">
      <c r="A144" s="6">
        <v>923</v>
      </c>
      <c r="B144" s="6" t="s">
        <v>233</v>
      </c>
      <c r="C144" s="6" t="s">
        <v>234</v>
      </c>
      <c r="D144" s="6" t="s">
        <v>26</v>
      </c>
      <c r="E144" s="6" t="s">
        <v>235</v>
      </c>
      <c r="F144" s="7">
        <v>2015</v>
      </c>
      <c r="G144" s="7">
        <v>129</v>
      </c>
      <c r="H144" s="7">
        <v>9</v>
      </c>
      <c r="I144" s="7">
        <v>1278</v>
      </c>
      <c r="J144" s="7">
        <v>1284</v>
      </c>
      <c r="K144" s="6" t="s">
        <v>15</v>
      </c>
      <c r="L144" s="9" t="s">
        <v>534</v>
      </c>
      <c r="M144" s="7" t="s">
        <v>404</v>
      </c>
      <c r="N144" s="7" t="s">
        <v>50</v>
      </c>
      <c r="O144" s="7" t="s">
        <v>50</v>
      </c>
      <c r="P144" s="7" t="s">
        <v>50</v>
      </c>
      <c r="Q144" s="7" t="s">
        <v>50</v>
      </c>
      <c r="R144" s="8" t="s">
        <v>51</v>
      </c>
      <c r="S144" s="7" t="s">
        <v>52</v>
      </c>
      <c r="T144" s="8" t="s">
        <v>53</v>
      </c>
      <c r="U144" s="8" t="s">
        <v>595</v>
      </c>
      <c r="V144" s="7" t="s">
        <v>582</v>
      </c>
      <c r="W144" s="8" t="s">
        <v>413</v>
      </c>
      <c r="X144" s="8" t="s">
        <v>90</v>
      </c>
      <c r="Y144" s="8" t="s">
        <v>405</v>
      </c>
      <c r="Z144">
        <v>85</v>
      </c>
      <c r="AA144">
        <v>117</v>
      </c>
      <c r="AB144" s="19">
        <f t="shared" si="2"/>
        <v>0.72649572649572647</v>
      </c>
      <c r="AC144" t="s">
        <v>84</v>
      </c>
    </row>
    <row r="145" spans="1:29" x14ac:dyDescent="0.25">
      <c r="A145" s="6">
        <v>596</v>
      </c>
      <c r="B145" s="6" t="s">
        <v>200</v>
      </c>
      <c r="C145" s="6" t="s">
        <v>201</v>
      </c>
      <c r="D145" s="6" t="s">
        <v>26</v>
      </c>
      <c r="E145" s="6" t="s">
        <v>202</v>
      </c>
      <c r="F145" s="7">
        <v>2016</v>
      </c>
      <c r="G145" s="7">
        <v>57</v>
      </c>
      <c r="H145" s="7" t="s">
        <v>184</v>
      </c>
      <c r="I145" s="7">
        <v>52</v>
      </c>
      <c r="J145" s="7">
        <v>59</v>
      </c>
      <c r="K145" s="6" t="s">
        <v>15</v>
      </c>
      <c r="L145" s="8" t="s">
        <v>526</v>
      </c>
      <c r="M145" s="8" t="s">
        <v>126</v>
      </c>
      <c r="N145" s="7" t="s">
        <v>50</v>
      </c>
      <c r="O145" s="7" t="s">
        <v>50</v>
      </c>
      <c r="P145" s="7" t="s">
        <v>50</v>
      </c>
      <c r="Q145" s="7" t="s">
        <v>50</v>
      </c>
      <c r="R145" s="8" t="s">
        <v>51</v>
      </c>
      <c r="S145" t="s">
        <v>52</v>
      </c>
      <c r="T145" t="s">
        <v>53</v>
      </c>
      <c r="U145" s="8" t="s">
        <v>595</v>
      </c>
      <c r="V145" s="7" t="s">
        <v>582</v>
      </c>
      <c r="W145" s="11" t="s">
        <v>140</v>
      </c>
      <c r="X145" t="s">
        <v>90</v>
      </c>
      <c r="Y145" t="s">
        <v>365</v>
      </c>
      <c r="Z145">
        <v>140</v>
      </c>
      <c r="AA145">
        <v>229</v>
      </c>
      <c r="AB145" s="19">
        <f t="shared" si="2"/>
        <v>0.611353711790393</v>
      </c>
      <c r="AC145" t="s">
        <v>118</v>
      </c>
    </row>
    <row r="146" spans="1:29" x14ac:dyDescent="0.25">
      <c r="A146" s="6">
        <v>595</v>
      </c>
      <c r="B146" s="6" t="s">
        <v>198</v>
      </c>
      <c r="C146" s="6" t="s">
        <v>199</v>
      </c>
      <c r="D146" s="6" t="s">
        <v>26</v>
      </c>
      <c r="E146" s="6" t="s">
        <v>180</v>
      </c>
      <c r="F146" s="7">
        <v>2017</v>
      </c>
      <c r="G146" s="7">
        <v>15</v>
      </c>
      <c r="H146" s="7">
        <v>1</v>
      </c>
      <c r="I146" s="7">
        <v>1</v>
      </c>
      <c r="J146" s="7">
        <v>16</v>
      </c>
      <c r="K146" s="6" t="s">
        <v>15</v>
      </c>
      <c r="L146" s="8" t="s">
        <v>525</v>
      </c>
      <c r="M146" s="7" t="s">
        <v>357</v>
      </c>
      <c r="N146" s="7" t="s">
        <v>50</v>
      </c>
      <c r="O146" s="7" t="s">
        <v>50</v>
      </c>
      <c r="P146" s="7" t="s">
        <v>50</v>
      </c>
      <c r="Q146" s="7" t="s">
        <v>50</v>
      </c>
      <c r="R146" s="8" t="s">
        <v>51</v>
      </c>
      <c r="S146" t="s">
        <v>52</v>
      </c>
      <c r="T146" t="s">
        <v>53</v>
      </c>
      <c r="U146" s="8" t="s">
        <v>595</v>
      </c>
      <c r="V146" s="7" t="s">
        <v>582</v>
      </c>
      <c r="W146" s="11" t="s">
        <v>140</v>
      </c>
      <c r="X146" t="s">
        <v>90</v>
      </c>
      <c r="Y146" t="s">
        <v>364</v>
      </c>
      <c r="Z146">
        <v>42</v>
      </c>
      <c r="AA146">
        <v>75</v>
      </c>
      <c r="AB146" s="19">
        <f t="shared" si="2"/>
        <v>0.56000000000000005</v>
      </c>
      <c r="AC146" t="s">
        <v>118</v>
      </c>
    </row>
    <row r="147" spans="1:29" x14ac:dyDescent="0.25">
      <c r="A147" s="6">
        <v>1080</v>
      </c>
      <c r="B147" s="6" t="s">
        <v>239</v>
      </c>
      <c r="C147" s="6" t="s">
        <v>240</v>
      </c>
      <c r="D147" s="6" t="s">
        <v>26</v>
      </c>
      <c r="E147" s="6" t="s">
        <v>202</v>
      </c>
      <c r="F147" s="7">
        <v>2017</v>
      </c>
      <c r="G147" s="7">
        <v>64</v>
      </c>
      <c r="H147" s="7" t="s">
        <v>184</v>
      </c>
      <c r="I147" s="7">
        <v>11</v>
      </c>
      <c r="J147" s="7">
        <v>20</v>
      </c>
      <c r="K147" s="6" t="s">
        <v>15</v>
      </c>
      <c r="L147" s="7" t="s">
        <v>536</v>
      </c>
      <c r="M147" s="7" t="s">
        <v>50</v>
      </c>
      <c r="N147" s="7" t="s">
        <v>50</v>
      </c>
      <c r="O147" s="7" t="s">
        <v>50</v>
      </c>
      <c r="P147" s="7" t="s">
        <v>50</v>
      </c>
      <c r="Q147" s="7" t="s">
        <v>50</v>
      </c>
      <c r="R147" s="7" t="s">
        <v>50</v>
      </c>
      <c r="S147" s="7" t="s">
        <v>52</v>
      </c>
      <c r="T147" s="7" t="s">
        <v>53</v>
      </c>
      <c r="U147" s="8" t="s">
        <v>595</v>
      </c>
      <c r="V147" s="7" t="s">
        <v>582</v>
      </c>
      <c r="W147" s="8" t="s">
        <v>453</v>
      </c>
      <c r="X147" s="8" t="s">
        <v>443</v>
      </c>
      <c r="Y147" t="s">
        <v>394</v>
      </c>
      <c r="Z147">
        <v>172</v>
      </c>
      <c r="AA147">
        <v>316</v>
      </c>
      <c r="AB147" s="19">
        <f t="shared" si="2"/>
        <v>0.54430379746835444</v>
      </c>
      <c r="AC147" t="s">
        <v>84</v>
      </c>
    </row>
    <row r="148" spans="1:29" s="20" customFormat="1" x14ac:dyDescent="0.25">
      <c r="A148" s="20">
        <v>79</v>
      </c>
      <c r="B148" s="20" t="s">
        <v>12</v>
      </c>
      <c r="C148" s="20" t="s">
        <v>13</v>
      </c>
      <c r="E148" s="20" t="s">
        <v>14</v>
      </c>
      <c r="F148" s="21">
        <v>2010</v>
      </c>
      <c r="G148" s="21">
        <v>21</v>
      </c>
      <c r="H148" s="21">
        <v>10</v>
      </c>
      <c r="I148" s="21">
        <v>1318</v>
      </c>
      <c r="J148" s="21">
        <v>1321</v>
      </c>
      <c r="K148" s="20" t="s">
        <v>15</v>
      </c>
      <c r="L148" s="24" t="s">
        <v>517</v>
      </c>
      <c r="M148" s="21" t="s">
        <v>69</v>
      </c>
      <c r="N148" s="20" t="s">
        <v>70</v>
      </c>
      <c r="O148" s="20" t="s">
        <v>50</v>
      </c>
      <c r="P148" s="20" t="s">
        <v>50</v>
      </c>
      <c r="Q148" s="20" t="s">
        <v>484</v>
      </c>
      <c r="R148" s="20" t="s">
        <v>51</v>
      </c>
      <c r="S148" s="20" t="s">
        <v>52</v>
      </c>
      <c r="T148" s="20" t="s">
        <v>53</v>
      </c>
      <c r="U148" s="22" t="s">
        <v>596</v>
      </c>
      <c r="V148" s="21" t="s">
        <v>582</v>
      </c>
      <c r="W148" s="20" t="s">
        <v>83</v>
      </c>
      <c r="X148" s="20" t="s">
        <v>90</v>
      </c>
      <c r="Y148" s="20" t="s">
        <v>120</v>
      </c>
      <c r="Z148" s="20">
        <v>56</v>
      </c>
      <c r="AA148" s="20">
        <v>74</v>
      </c>
      <c r="AB148" s="26">
        <f t="shared" si="2"/>
        <v>0.7567567567567568</v>
      </c>
      <c r="AC148" s="20" t="s">
        <v>84</v>
      </c>
    </row>
    <row r="149" spans="1:29" s="20" customFormat="1" x14ac:dyDescent="0.25">
      <c r="A149" s="20">
        <v>1086</v>
      </c>
      <c r="B149" s="20" t="s">
        <v>21</v>
      </c>
      <c r="C149" s="20" t="s">
        <v>22</v>
      </c>
      <c r="E149" s="20" t="s">
        <v>23</v>
      </c>
      <c r="F149" s="21">
        <v>2014</v>
      </c>
      <c r="G149" s="21">
        <v>71</v>
      </c>
      <c r="H149" s="21">
        <v>4</v>
      </c>
      <c r="I149" s="21">
        <v>265</v>
      </c>
      <c r="J149" s="21">
        <v>269</v>
      </c>
      <c r="K149" s="20" t="s">
        <v>15</v>
      </c>
      <c r="L149" s="21" t="s">
        <v>537</v>
      </c>
      <c r="M149" s="20" t="s">
        <v>50</v>
      </c>
      <c r="N149" s="20" t="s">
        <v>109</v>
      </c>
      <c r="O149" s="20" t="s">
        <v>50</v>
      </c>
      <c r="P149" s="20" t="s">
        <v>50</v>
      </c>
      <c r="Q149" s="20" t="s">
        <v>50</v>
      </c>
      <c r="R149" s="20" t="s">
        <v>50</v>
      </c>
      <c r="S149" s="20" t="s">
        <v>52</v>
      </c>
      <c r="T149" s="20" t="s">
        <v>53</v>
      </c>
      <c r="U149" s="22" t="s">
        <v>596</v>
      </c>
      <c r="V149" s="21" t="s">
        <v>582</v>
      </c>
      <c r="W149" s="22" t="s">
        <v>116</v>
      </c>
      <c r="X149" s="20" t="s">
        <v>90</v>
      </c>
      <c r="Y149" s="20" t="s">
        <v>110</v>
      </c>
      <c r="Z149" s="25">
        <f>59%*AA149</f>
        <v>73.16</v>
      </c>
      <c r="AA149" s="20">
        <v>124</v>
      </c>
      <c r="AB149" s="26">
        <f t="shared" si="2"/>
        <v>0.59</v>
      </c>
      <c r="AC149" s="20" t="s">
        <v>118</v>
      </c>
    </row>
    <row r="150" spans="1:29" s="20" customFormat="1" x14ac:dyDescent="0.25">
      <c r="A150" s="20">
        <v>597</v>
      </c>
      <c r="B150" s="20" t="s">
        <v>122</v>
      </c>
      <c r="C150" s="20" t="s">
        <v>123</v>
      </c>
      <c r="D150" s="20" t="s">
        <v>26</v>
      </c>
      <c r="E150" s="20" t="s">
        <v>124</v>
      </c>
      <c r="F150" s="21">
        <v>2015</v>
      </c>
      <c r="G150" s="21">
        <v>18</v>
      </c>
      <c r="H150" s="21">
        <v>5</v>
      </c>
      <c r="I150" s="21">
        <v>454</v>
      </c>
      <c r="J150" s="21">
        <v>469</v>
      </c>
      <c r="K150" s="20" t="s">
        <v>15</v>
      </c>
      <c r="L150" s="21" t="s">
        <v>527</v>
      </c>
      <c r="M150" s="20" t="s">
        <v>126</v>
      </c>
      <c r="N150" s="20" t="s">
        <v>125</v>
      </c>
      <c r="O150" s="20" t="s">
        <v>50</v>
      </c>
      <c r="P150" s="20" t="s">
        <v>50</v>
      </c>
      <c r="Q150" s="20" t="s">
        <v>50</v>
      </c>
      <c r="R150" s="20" t="s">
        <v>51</v>
      </c>
      <c r="S150" s="20" t="s">
        <v>52</v>
      </c>
      <c r="T150" s="20" t="s">
        <v>53</v>
      </c>
      <c r="U150" s="22" t="s">
        <v>596</v>
      </c>
      <c r="V150" s="21" t="s">
        <v>582</v>
      </c>
      <c r="W150" s="22" t="s">
        <v>144</v>
      </c>
      <c r="X150" s="20" t="s">
        <v>90</v>
      </c>
      <c r="Y150" s="20" t="s">
        <v>127</v>
      </c>
      <c r="Z150" s="20">
        <v>96</v>
      </c>
      <c r="AA150" s="20">
        <v>110</v>
      </c>
      <c r="AB150" s="26">
        <f t="shared" si="2"/>
        <v>0.87272727272727268</v>
      </c>
      <c r="AC150" s="20" t="s">
        <v>118</v>
      </c>
    </row>
    <row r="151" spans="1:29" s="20" customFormat="1" x14ac:dyDescent="0.25">
      <c r="A151" s="20">
        <v>923</v>
      </c>
      <c r="B151" s="20" t="s">
        <v>233</v>
      </c>
      <c r="C151" s="20" t="s">
        <v>234</v>
      </c>
      <c r="D151" s="20" t="s">
        <v>26</v>
      </c>
      <c r="E151" s="20" t="s">
        <v>235</v>
      </c>
      <c r="F151" s="21">
        <v>2015</v>
      </c>
      <c r="G151" s="21">
        <v>129</v>
      </c>
      <c r="H151" s="21">
        <v>9</v>
      </c>
      <c r="I151" s="21">
        <v>1278</v>
      </c>
      <c r="J151" s="21">
        <v>1284</v>
      </c>
      <c r="K151" s="20" t="s">
        <v>15</v>
      </c>
      <c r="L151" s="24" t="s">
        <v>534</v>
      </c>
      <c r="M151" s="21" t="s">
        <v>404</v>
      </c>
      <c r="N151" s="21" t="s">
        <v>50</v>
      </c>
      <c r="O151" s="21" t="s">
        <v>50</v>
      </c>
      <c r="P151" s="21" t="s">
        <v>50</v>
      </c>
      <c r="Q151" s="21" t="s">
        <v>50</v>
      </c>
      <c r="R151" s="21" t="s">
        <v>51</v>
      </c>
      <c r="S151" s="21" t="s">
        <v>52</v>
      </c>
      <c r="T151" s="21" t="s">
        <v>53</v>
      </c>
      <c r="U151" s="22" t="s">
        <v>596</v>
      </c>
      <c r="V151" s="21" t="s">
        <v>582</v>
      </c>
      <c r="W151" s="21" t="s">
        <v>418</v>
      </c>
      <c r="X151" s="21" t="s">
        <v>90</v>
      </c>
      <c r="Y151" s="21" t="s">
        <v>405</v>
      </c>
      <c r="Z151" s="20">
        <v>97</v>
      </c>
      <c r="AA151" s="20">
        <v>117</v>
      </c>
      <c r="AB151" s="26">
        <f t="shared" si="2"/>
        <v>0.82905982905982911</v>
      </c>
      <c r="AC151" s="20" t="s">
        <v>84</v>
      </c>
    </row>
    <row r="152" spans="1:29" s="20" customFormat="1" x14ac:dyDescent="0.25">
      <c r="A152" s="20">
        <v>596</v>
      </c>
      <c r="B152" s="20" t="s">
        <v>200</v>
      </c>
      <c r="C152" s="20" t="s">
        <v>201</v>
      </c>
      <c r="D152" s="20" t="s">
        <v>26</v>
      </c>
      <c r="E152" s="20" t="s">
        <v>202</v>
      </c>
      <c r="F152" s="21">
        <v>2016</v>
      </c>
      <c r="G152" s="21">
        <v>57</v>
      </c>
      <c r="H152" s="21" t="s">
        <v>184</v>
      </c>
      <c r="I152" s="21">
        <v>52</v>
      </c>
      <c r="J152" s="21">
        <v>59</v>
      </c>
      <c r="K152" s="20" t="s">
        <v>15</v>
      </c>
      <c r="L152" s="21" t="s">
        <v>526</v>
      </c>
      <c r="M152" s="21" t="s">
        <v>126</v>
      </c>
      <c r="N152" s="21" t="s">
        <v>50</v>
      </c>
      <c r="O152" s="21" t="s">
        <v>50</v>
      </c>
      <c r="P152" s="21" t="s">
        <v>50</v>
      </c>
      <c r="Q152" s="21" t="s">
        <v>50</v>
      </c>
      <c r="R152" s="21" t="s">
        <v>51</v>
      </c>
      <c r="S152" s="20" t="s">
        <v>52</v>
      </c>
      <c r="T152" s="20" t="s">
        <v>53</v>
      </c>
      <c r="U152" s="22" t="s">
        <v>596</v>
      </c>
      <c r="V152" s="21" t="s">
        <v>582</v>
      </c>
      <c r="W152" s="22" t="s">
        <v>144</v>
      </c>
      <c r="X152" s="20" t="s">
        <v>90</v>
      </c>
      <c r="Y152" s="20" t="s">
        <v>365</v>
      </c>
      <c r="Z152" s="20">
        <v>208</v>
      </c>
      <c r="AA152" s="20">
        <v>229</v>
      </c>
      <c r="AB152" s="26">
        <f t="shared" si="2"/>
        <v>0.90829694323144106</v>
      </c>
      <c r="AC152" s="20" t="s">
        <v>118</v>
      </c>
    </row>
    <row r="153" spans="1:29" s="20" customFormat="1" x14ac:dyDescent="0.25">
      <c r="A153" s="20">
        <v>595</v>
      </c>
      <c r="B153" s="20" t="s">
        <v>198</v>
      </c>
      <c r="C153" s="20" t="s">
        <v>199</v>
      </c>
      <c r="D153" s="20" t="s">
        <v>26</v>
      </c>
      <c r="E153" s="20" t="s">
        <v>180</v>
      </c>
      <c r="F153" s="21">
        <v>2017</v>
      </c>
      <c r="G153" s="21">
        <v>15</v>
      </c>
      <c r="H153" s="21">
        <v>1</v>
      </c>
      <c r="I153" s="21">
        <v>1</v>
      </c>
      <c r="J153" s="21">
        <v>16</v>
      </c>
      <c r="K153" s="20" t="s">
        <v>15</v>
      </c>
      <c r="L153" s="21" t="s">
        <v>525</v>
      </c>
      <c r="M153" s="21" t="s">
        <v>357</v>
      </c>
      <c r="N153" s="21" t="s">
        <v>50</v>
      </c>
      <c r="O153" s="21" t="s">
        <v>50</v>
      </c>
      <c r="P153" s="21" t="s">
        <v>50</v>
      </c>
      <c r="Q153" s="21" t="s">
        <v>50</v>
      </c>
      <c r="R153" s="21" t="s">
        <v>51</v>
      </c>
      <c r="S153" s="20" t="s">
        <v>52</v>
      </c>
      <c r="T153" s="20" t="s">
        <v>53</v>
      </c>
      <c r="U153" s="22" t="s">
        <v>596</v>
      </c>
      <c r="V153" s="21" t="s">
        <v>582</v>
      </c>
      <c r="W153" s="22" t="s">
        <v>144</v>
      </c>
      <c r="X153" s="20" t="s">
        <v>90</v>
      </c>
      <c r="Y153" s="20" t="s">
        <v>364</v>
      </c>
      <c r="Z153" s="20">
        <v>65</v>
      </c>
      <c r="AA153" s="20">
        <v>75</v>
      </c>
      <c r="AB153" s="26">
        <f t="shared" si="2"/>
        <v>0.8666666666666667</v>
      </c>
      <c r="AC153" s="20" t="s">
        <v>118</v>
      </c>
    </row>
    <row r="154" spans="1:29" s="20" customFormat="1" x14ac:dyDescent="0.25">
      <c r="A154" s="20">
        <v>1080</v>
      </c>
      <c r="B154" s="20" t="s">
        <v>239</v>
      </c>
      <c r="C154" s="20" t="s">
        <v>240</v>
      </c>
      <c r="D154" s="20" t="s">
        <v>26</v>
      </c>
      <c r="E154" s="20" t="s">
        <v>202</v>
      </c>
      <c r="F154" s="21">
        <v>2017</v>
      </c>
      <c r="G154" s="21">
        <v>64</v>
      </c>
      <c r="H154" s="21" t="s">
        <v>184</v>
      </c>
      <c r="I154" s="21">
        <v>11</v>
      </c>
      <c r="J154" s="21">
        <v>20</v>
      </c>
      <c r="K154" s="20" t="s">
        <v>15</v>
      </c>
      <c r="L154" s="21" t="s">
        <v>536</v>
      </c>
      <c r="M154" s="21" t="s">
        <v>50</v>
      </c>
      <c r="N154" s="21" t="s">
        <v>50</v>
      </c>
      <c r="O154" s="21" t="s">
        <v>50</v>
      </c>
      <c r="P154" s="21" t="s">
        <v>50</v>
      </c>
      <c r="Q154" s="21" t="s">
        <v>50</v>
      </c>
      <c r="R154" s="21" t="s">
        <v>50</v>
      </c>
      <c r="S154" s="21" t="s">
        <v>52</v>
      </c>
      <c r="T154" s="21" t="s">
        <v>53</v>
      </c>
      <c r="U154" s="22" t="s">
        <v>596</v>
      </c>
      <c r="V154" s="21" t="s">
        <v>582</v>
      </c>
      <c r="W154" s="21" t="s">
        <v>450</v>
      </c>
      <c r="X154" s="21" t="s">
        <v>443</v>
      </c>
      <c r="Y154" s="20" t="s">
        <v>394</v>
      </c>
      <c r="Z154" s="20">
        <v>241</v>
      </c>
      <c r="AA154" s="20">
        <v>316</v>
      </c>
      <c r="AB154" s="26">
        <f t="shared" si="2"/>
        <v>0.76265822784810122</v>
      </c>
      <c r="AC154" s="20" t="s">
        <v>84</v>
      </c>
    </row>
    <row r="155" spans="1:29" x14ac:dyDescent="0.25">
      <c r="A155" s="6">
        <v>597</v>
      </c>
      <c r="B155" s="6" t="s">
        <v>122</v>
      </c>
      <c r="C155" s="6" t="s">
        <v>123</v>
      </c>
      <c r="D155" s="6" t="s">
        <v>26</v>
      </c>
      <c r="E155" s="6" t="s">
        <v>124</v>
      </c>
      <c r="F155" s="7">
        <v>2015</v>
      </c>
      <c r="G155" s="7">
        <v>18</v>
      </c>
      <c r="H155" s="7">
        <v>5</v>
      </c>
      <c r="I155" s="7">
        <v>454</v>
      </c>
      <c r="J155" s="7">
        <v>469</v>
      </c>
      <c r="K155" t="s">
        <v>15</v>
      </c>
      <c r="L155" s="8" t="s">
        <v>527</v>
      </c>
      <c r="M155" t="s">
        <v>126</v>
      </c>
      <c r="N155" t="s">
        <v>125</v>
      </c>
      <c r="O155" t="s">
        <v>50</v>
      </c>
      <c r="P155" t="s">
        <v>50</v>
      </c>
      <c r="Q155" t="s">
        <v>50</v>
      </c>
      <c r="R155" t="s">
        <v>51</v>
      </c>
      <c r="S155" t="s">
        <v>52</v>
      </c>
      <c r="T155" t="s">
        <v>53</v>
      </c>
      <c r="U155" s="8" t="s">
        <v>597</v>
      </c>
      <c r="V155" s="7" t="s">
        <v>582</v>
      </c>
      <c r="W155" s="11" t="s">
        <v>139</v>
      </c>
      <c r="X155" t="s">
        <v>90</v>
      </c>
      <c r="Y155" t="s">
        <v>127</v>
      </c>
      <c r="Z155">
        <v>77</v>
      </c>
      <c r="AA155">
        <v>110</v>
      </c>
      <c r="AB155" s="19">
        <f t="shared" si="2"/>
        <v>0.7</v>
      </c>
      <c r="AC155" t="s">
        <v>118</v>
      </c>
    </row>
    <row r="156" spans="1:29" x14ac:dyDescent="0.25">
      <c r="A156" s="6">
        <v>596</v>
      </c>
      <c r="B156" s="6" t="s">
        <v>200</v>
      </c>
      <c r="C156" s="6" t="s">
        <v>201</v>
      </c>
      <c r="D156" s="6" t="s">
        <v>26</v>
      </c>
      <c r="E156" s="6" t="s">
        <v>202</v>
      </c>
      <c r="F156" s="7">
        <v>2016</v>
      </c>
      <c r="G156" s="7">
        <v>57</v>
      </c>
      <c r="H156" s="7" t="s">
        <v>184</v>
      </c>
      <c r="I156" s="7">
        <v>52</v>
      </c>
      <c r="J156" s="7">
        <v>59</v>
      </c>
      <c r="K156" s="6" t="s">
        <v>15</v>
      </c>
      <c r="L156" s="8" t="s">
        <v>526</v>
      </c>
      <c r="M156" s="8" t="s">
        <v>126</v>
      </c>
      <c r="N156" s="7" t="s">
        <v>50</v>
      </c>
      <c r="O156" s="7" t="s">
        <v>50</v>
      </c>
      <c r="P156" s="7" t="s">
        <v>50</v>
      </c>
      <c r="Q156" s="7" t="s">
        <v>50</v>
      </c>
      <c r="R156" s="8" t="s">
        <v>51</v>
      </c>
      <c r="S156" t="s">
        <v>52</v>
      </c>
      <c r="T156" t="s">
        <v>53</v>
      </c>
      <c r="U156" s="8" t="s">
        <v>597</v>
      </c>
      <c r="V156" s="7" t="s">
        <v>582</v>
      </c>
      <c r="W156" s="11" t="s">
        <v>139</v>
      </c>
      <c r="X156" t="s">
        <v>90</v>
      </c>
      <c r="Y156" t="s">
        <v>365</v>
      </c>
      <c r="Z156">
        <v>179</v>
      </c>
      <c r="AA156">
        <v>229</v>
      </c>
      <c r="AB156" s="19">
        <f t="shared" si="2"/>
        <v>0.78165938864628826</v>
      </c>
      <c r="AC156" t="s">
        <v>118</v>
      </c>
    </row>
    <row r="157" spans="1:29" x14ac:dyDescent="0.25">
      <c r="A157" s="6">
        <v>595</v>
      </c>
      <c r="B157" s="6" t="s">
        <v>198</v>
      </c>
      <c r="C157" s="6" t="s">
        <v>199</v>
      </c>
      <c r="D157" s="6" t="s">
        <v>26</v>
      </c>
      <c r="E157" s="6" t="s">
        <v>180</v>
      </c>
      <c r="F157" s="7">
        <v>2017</v>
      </c>
      <c r="G157" s="7">
        <v>15</v>
      </c>
      <c r="H157" s="7">
        <v>1</v>
      </c>
      <c r="I157" s="7">
        <v>1</v>
      </c>
      <c r="J157" s="7">
        <v>16</v>
      </c>
      <c r="K157" s="6" t="s">
        <v>15</v>
      </c>
      <c r="L157" s="8" t="s">
        <v>525</v>
      </c>
      <c r="M157" s="7" t="s">
        <v>357</v>
      </c>
      <c r="N157" s="7" t="s">
        <v>50</v>
      </c>
      <c r="O157" s="7" t="s">
        <v>50</v>
      </c>
      <c r="P157" s="7" t="s">
        <v>50</v>
      </c>
      <c r="Q157" s="7" t="s">
        <v>50</v>
      </c>
      <c r="R157" s="8" t="s">
        <v>51</v>
      </c>
      <c r="S157" t="s">
        <v>52</v>
      </c>
      <c r="T157" t="s">
        <v>53</v>
      </c>
      <c r="U157" s="8" t="s">
        <v>597</v>
      </c>
      <c r="V157" s="7" t="s">
        <v>582</v>
      </c>
      <c r="W157" s="11" t="s">
        <v>139</v>
      </c>
      <c r="X157" t="s">
        <v>90</v>
      </c>
      <c r="Y157" t="s">
        <v>364</v>
      </c>
      <c r="Z157">
        <v>63</v>
      </c>
      <c r="AA157">
        <v>75</v>
      </c>
      <c r="AB157" s="19">
        <f t="shared" si="2"/>
        <v>0.84</v>
      </c>
      <c r="AC157" t="s">
        <v>118</v>
      </c>
    </row>
    <row r="158" spans="1:29" x14ac:dyDescent="0.25">
      <c r="A158" s="6">
        <v>1080</v>
      </c>
      <c r="B158" s="6" t="s">
        <v>239</v>
      </c>
      <c r="C158" s="6" t="s">
        <v>240</v>
      </c>
      <c r="D158" s="6" t="s">
        <v>26</v>
      </c>
      <c r="E158" s="6" t="s">
        <v>202</v>
      </c>
      <c r="F158" s="7">
        <v>2017</v>
      </c>
      <c r="G158" s="7">
        <v>64</v>
      </c>
      <c r="H158" s="7" t="s">
        <v>184</v>
      </c>
      <c r="I158" s="7">
        <v>11</v>
      </c>
      <c r="J158" s="7">
        <v>20</v>
      </c>
      <c r="K158" s="6" t="s">
        <v>15</v>
      </c>
      <c r="L158" s="7" t="s">
        <v>536</v>
      </c>
      <c r="M158" s="7" t="s">
        <v>50</v>
      </c>
      <c r="N158" s="7" t="s">
        <v>50</v>
      </c>
      <c r="O158" s="7" t="s">
        <v>50</v>
      </c>
      <c r="P158" s="7" t="s">
        <v>50</v>
      </c>
      <c r="Q158" s="7" t="s">
        <v>50</v>
      </c>
      <c r="R158" s="7" t="s">
        <v>50</v>
      </c>
      <c r="S158" s="7" t="s">
        <v>52</v>
      </c>
      <c r="T158" s="7" t="s">
        <v>53</v>
      </c>
      <c r="U158" s="8" t="s">
        <v>597</v>
      </c>
      <c r="V158" s="7" t="s">
        <v>582</v>
      </c>
      <c r="W158" s="8" t="s">
        <v>451</v>
      </c>
      <c r="X158" s="8" t="s">
        <v>443</v>
      </c>
      <c r="Y158" t="s">
        <v>394</v>
      </c>
      <c r="Z158">
        <v>228</v>
      </c>
      <c r="AA158">
        <v>316</v>
      </c>
      <c r="AB158" s="19">
        <f t="shared" si="2"/>
        <v>0.72151898734177211</v>
      </c>
      <c r="AC158" t="s">
        <v>84</v>
      </c>
    </row>
    <row r="159" spans="1:29" s="6" customFormat="1" x14ac:dyDescent="0.25">
      <c r="A159" s="6">
        <v>923</v>
      </c>
      <c r="B159" s="6" t="s">
        <v>233</v>
      </c>
      <c r="C159" s="6" t="s">
        <v>234</v>
      </c>
      <c r="D159" s="6" t="s">
        <v>26</v>
      </c>
      <c r="E159" s="6" t="s">
        <v>235</v>
      </c>
      <c r="F159" s="7">
        <v>2015</v>
      </c>
      <c r="G159" s="7">
        <v>129</v>
      </c>
      <c r="H159" s="7">
        <v>9</v>
      </c>
      <c r="I159" s="7">
        <v>1278</v>
      </c>
      <c r="J159" s="7">
        <v>1284</v>
      </c>
      <c r="K159" s="6" t="s">
        <v>15</v>
      </c>
      <c r="L159" s="31" t="s">
        <v>534</v>
      </c>
      <c r="M159" s="7" t="s">
        <v>404</v>
      </c>
      <c r="N159" s="7" t="s">
        <v>50</v>
      </c>
      <c r="O159" s="7" t="s">
        <v>50</v>
      </c>
      <c r="P159" s="7" t="s">
        <v>50</v>
      </c>
      <c r="Q159" s="7" t="s">
        <v>50</v>
      </c>
      <c r="R159" s="7" t="s">
        <v>51</v>
      </c>
      <c r="S159" s="7" t="s">
        <v>52</v>
      </c>
      <c r="T159" s="7" t="s">
        <v>53</v>
      </c>
      <c r="U159" s="7" t="s">
        <v>597</v>
      </c>
      <c r="V159" s="7" t="s">
        <v>582</v>
      </c>
      <c r="W159" s="7" t="s">
        <v>417</v>
      </c>
      <c r="X159" s="7" t="s">
        <v>90</v>
      </c>
      <c r="Y159" s="7" t="s">
        <v>405</v>
      </c>
      <c r="Z159" s="6">
        <v>33</v>
      </c>
      <c r="AA159" s="6">
        <v>117</v>
      </c>
      <c r="AB159" s="28">
        <f t="shared" si="2"/>
        <v>0.28205128205128205</v>
      </c>
      <c r="AC159" s="6" t="s">
        <v>84</v>
      </c>
    </row>
    <row r="160" spans="1:29" s="20" customFormat="1" x14ac:dyDescent="0.25">
      <c r="A160" s="20">
        <v>597</v>
      </c>
      <c r="B160" s="20" t="s">
        <v>122</v>
      </c>
      <c r="C160" s="20" t="s">
        <v>123</v>
      </c>
      <c r="D160" s="20" t="s">
        <v>26</v>
      </c>
      <c r="E160" s="20" t="s">
        <v>124</v>
      </c>
      <c r="F160" s="21">
        <v>2015</v>
      </c>
      <c r="G160" s="21">
        <v>18</v>
      </c>
      <c r="H160" s="21">
        <v>5</v>
      </c>
      <c r="I160" s="21">
        <v>454</v>
      </c>
      <c r="J160" s="21">
        <v>469</v>
      </c>
      <c r="K160" s="20" t="s">
        <v>15</v>
      </c>
      <c r="L160" s="21" t="s">
        <v>527</v>
      </c>
      <c r="M160" s="20" t="s">
        <v>126</v>
      </c>
      <c r="N160" s="20" t="s">
        <v>125</v>
      </c>
      <c r="O160" s="20" t="s">
        <v>50</v>
      </c>
      <c r="P160" s="20" t="s">
        <v>50</v>
      </c>
      <c r="Q160" s="20" t="s">
        <v>50</v>
      </c>
      <c r="R160" s="20" t="s">
        <v>51</v>
      </c>
      <c r="S160" s="20" t="s">
        <v>52</v>
      </c>
      <c r="T160" s="20" t="s">
        <v>53</v>
      </c>
      <c r="U160" s="21" t="s">
        <v>584</v>
      </c>
      <c r="V160" s="21" t="s">
        <v>583</v>
      </c>
      <c r="W160" s="22" t="s">
        <v>131</v>
      </c>
      <c r="X160" s="20" t="s">
        <v>90</v>
      </c>
      <c r="Y160" s="20" t="s">
        <v>127</v>
      </c>
      <c r="Z160" s="20">
        <v>73</v>
      </c>
      <c r="AA160" s="20">
        <v>110</v>
      </c>
      <c r="AB160" s="26">
        <f t="shared" si="2"/>
        <v>0.66363636363636369</v>
      </c>
      <c r="AC160" s="20" t="s">
        <v>118</v>
      </c>
    </row>
    <row r="161" spans="1:29" s="20" customFormat="1" x14ac:dyDescent="0.25">
      <c r="A161" s="20">
        <v>596</v>
      </c>
      <c r="B161" s="20" t="s">
        <v>200</v>
      </c>
      <c r="C161" s="20" t="s">
        <v>201</v>
      </c>
      <c r="D161" s="20" t="s">
        <v>26</v>
      </c>
      <c r="E161" s="20" t="s">
        <v>202</v>
      </c>
      <c r="F161" s="21">
        <v>2016</v>
      </c>
      <c r="G161" s="21">
        <v>57</v>
      </c>
      <c r="H161" s="21" t="s">
        <v>184</v>
      </c>
      <c r="I161" s="21">
        <v>52</v>
      </c>
      <c r="J161" s="21">
        <v>59</v>
      </c>
      <c r="K161" s="20" t="s">
        <v>15</v>
      </c>
      <c r="L161" s="21" t="s">
        <v>526</v>
      </c>
      <c r="M161" s="21" t="s">
        <v>126</v>
      </c>
      <c r="N161" s="21" t="s">
        <v>50</v>
      </c>
      <c r="O161" s="21" t="s">
        <v>50</v>
      </c>
      <c r="P161" s="21" t="s">
        <v>50</v>
      </c>
      <c r="Q161" s="21" t="s">
        <v>50</v>
      </c>
      <c r="R161" s="21" t="s">
        <v>51</v>
      </c>
      <c r="S161" s="20" t="s">
        <v>52</v>
      </c>
      <c r="T161" s="20" t="s">
        <v>53</v>
      </c>
      <c r="U161" s="21" t="s">
        <v>584</v>
      </c>
      <c r="V161" s="21" t="s">
        <v>583</v>
      </c>
      <c r="W161" s="22" t="s">
        <v>131</v>
      </c>
      <c r="X161" s="20" t="s">
        <v>90</v>
      </c>
      <c r="Y161" s="20" t="s">
        <v>365</v>
      </c>
      <c r="Z161" s="20">
        <v>169</v>
      </c>
      <c r="AA161" s="20">
        <v>229</v>
      </c>
      <c r="AB161" s="26">
        <f t="shared" si="2"/>
        <v>0.73799126637554591</v>
      </c>
      <c r="AC161" s="20" t="s">
        <v>118</v>
      </c>
    </row>
    <row r="162" spans="1:29" s="20" customFormat="1" x14ac:dyDescent="0.25">
      <c r="A162" s="20">
        <v>595</v>
      </c>
      <c r="B162" s="20" t="s">
        <v>198</v>
      </c>
      <c r="C162" s="20" t="s">
        <v>199</v>
      </c>
      <c r="D162" s="20" t="s">
        <v>26</v>
      </c>
      <c r="E162" s="20" t="s">
        <v>180</v>
      </c>
      <c r="F162" s="21">
        <v>2017</v>
      </c>
      <c r="G162" s="21">
        <v>15</v>
      </c>
      <c r="H162" s="21">
        <v>1</v>
      </c>
      <c r="I162" s="21">
        <v>1</v>
      </c>
      <c r="J162" s="21">
        <v>16</v>
      </c>
      <c r="K162" s="20" t="s">
        <v>15</v>
      </c>
      <c r="L162" s="21" t="s">
        <v>525</v>
      </c>
      <c r="M162" s="21" t="s">
        <v>357</v>
      </c>
      <c r="N162" s="21" t="s">
        <v>50</v>
      </c>
      <c r="O162" s="21" t="s">
        <v>50</v>
      </c>
      <c r="P162" s="21" t="s">
        <v>50</v>
      </c>
      <c r="Q162" s="21" t="s">
        <v>50</v>
      </c>
      <c r="R162" s="21" t="s">
        <v>51</v>
      </c>
      <c r="S162" s="20" t="s">
        <v>52</v>
      </c>
      <c r="T162" s="20" t="s">
        <v>53</v>
      </c>
      <c r="U162" s="21" t="s">
        <v>584</v>
      </c>
      <c r="V162" s="21" t="s">
        <v>583</v>
      </c>
      <c r="W162" s="22" t="s">
        <v>131</v>
      </c>
      <c r="X162" s="20" t="s">
        <v>90</v>
      </c>
      <c r="Y162" s="20" t="s">
        <v>364</v>
      </c>
      <c r="Z162" s="20">
        <v>52</v>
      </c>
      <c r="AA162" s="20">
        <v>75</v>
      </c>
      <c r="AB162" s="26">
        <f t="shared" si="2"/>
        <v>0.69333333333333336</v>
      </c>
      <c r="AC162" s="20" t="s">
        <v>118</v>
      </c>
    </row>
    <row r="163" spans="1:29" s="20" customFormat="1" x14ac:dyDescent="0.25">
      <c r="A163" s="20">
        <v>1080</v>
      </c>
      <c r="B163" s="20" t="s">
        <v>239</v>
      </c>
      <c r="C163" s="20" t="s">
        <v>240</v>
      </c>
      <c r="D163" s="20" t="s">
        <v>26</v>
      </c>
      <c r="E163" s="20" t="s">
        <v>202</v>
      </c>
      <c r="F163" s="21">
        <v>2017</v>
      </c>
      <c r="G163" s="21">
        <v>64</v>
      </c>
      <c r="H163" s="21" t="s">
        <v>184</v>
      </c>
      <c r="I163" s="21">
        <v>11</v>
      </c>
      <c r="J163" s="21">
        <v>20</v>
      </c>
      <c r="K163" s="20" t="s">
        <v>15</v>
      </c>
      <c r="L163" s="21" t="s">
        <v>536</v>
      </c>
      <c r="M163" s="21" t="s">
        <v>50</v>
      </c>
      <c r="N163" s="21" t="s">
        <v>50</v>
      </c>
      <c r="O163" s="21" t="s">
        <v>50</v>
      </c>
      <c r="P163" s="21" t="s">
        <v>50</v>
      </c>
      <c r="Q163" s="21" t="s">
        <v>50</v>
      </c>
      <c r="R163" s="21" t="s">
        <v>50</v>
      </c>
      <c r="S163" s="21" t="s">
        <v>52</v>
      </c>
      <c r="T163" s="21" t="s">
        <v>53</v>
      </c>
      <c r="U163" s="21" t="s">
        <v>584</v>
      </c>
      <c r="V163" s="21" t="s">
        <v>583</v>
      </c>
      <c r="W163" s="21" t="s">
        <v>460</v>
      </c>
      <c r="X163" s="21" t="s">
        <v>443</v>
      </c>
      <c r="Y163" s="20" t="s">
        <v>394</v>
      </c>
      <c r="Z163" s="20">
        <v>236</v>
      </c>
      <c r="AA163" s="20">
        <v>316</v>
      </c>
      <c r="AB163" s="26">
        <f t="shared" si="2"/>
        <v>0.74683544303797467</v>
      </c>
      <c r="AC163" s="20" t="s">
        <v>84</v>
      </c>
    </row>
    <row r="164" spans="1:29" x14ac:dyDescent="0.25">
      <c r="A164" s="6">
        <v>597</v>
      </c>
      <c r="B164" s="6" t="s">
        <v>122</v>
      </c>
      <c r="C164" s="6" t="s">
        <v>123</v>
      </c>
      <c r="D164" s="6" t="s">
        <v>26</v>
      </c>
      <c r="E164" s="6" t="s">
        <v>124</v>
      </c>
      <c r="F164" s="7">
        <v>2015</v>
      </c>
      <c r="G164" s="7">
        <v>18</v>
      </c>
      <c r="H164" s="7">
        <v>5</v>
      </c>
      <c r="I164" s="7">
        <v>454</v>
      </c>
      <c r="J164" s="7">
        <v>469</v>
      </c>
      <c r="K164" t="s">
        <v>15</v>
      </c>
      <c r="L164" s="8" t="s">
        <v>527</v>
      </c>
      <c r="M164" t="s">
        <v>126</v>
      </c>
      <c r="N164" t="s">
        <v>125</v>
      </c>
      <c r="O164" t="s">
        <v>50</v>
      </c>
      <c r="P164" t="s">
        <v>50</v>
      </c>
      <c r="Q164" t="s">
        <v>50</v>
      </c>
      <c r="R164" t="s">
        <v>51</v>
      </c>
      <c r="S164" t="s">
        <v>52</v>
      </c>
      <c r="T164" t="s">
        <v>53</v>
      </c>
      <c r="U164" s="8" t="s">
        <v>598</v>
      </c>
      <c r="V164" s="8" t="s">
        <v>583</v>
      </c>
      <c r="W164" s="11" t="s">
        <v>132</v>
      </c>
      <c r="X164" t="s">
        <v>90</v>
      </c>
      <c r="Y164" t="s">
        <v>127</v>
      </c>
      <c r="Z164">
        <v>74</v>
      </c>
      <c r="AA164">
        <v>110</v>
      </c>
      <c r="AB164" s="19">
        <f t="shared" si="2"/>
        <v>0.67272727272727273</v>
      </c>
      <c r="AC164" t="s">
        <v>118</v>
      </c>
    </row>
    <row r="165" spans="1:29" x14ac:dyDescent="0.25">
      <c r="A165" s="6">
        <v>596</v>
      </c>
      <c r="B165" s="6" t="s">
        <v>200</v>
      </c>
      <c r="C165" s="6" t="s">
        <v>201</v>
      </c>
      <c r="D165" s="6" t="s">
        <v>26</v>
      </c>
      <c r="E165" s="6" t="s">
        <v>202</v>
      </c>
      <c r="F165" s="7">
        <v>2016</v>
      </c>
      <c r="G165" s="7">
        <v>57</v>
      </c>
      <c r="H165" s="7" t="s">
        <v>184</v>
      </c>
      <c r="I165" s="7">
        <v>52</v>
      </c>
      <c r="J165" s="7">
        <v>59</v>
      </c>
      <c r="K165" s="6" t="s">
        <v>15</v>
      </c>
      <c r="L165" s="8" t="s">
        <v>526</v>
      </c>
      <c r="M165" s="8" t="s">
        <v>126</v>
      </c>
      <c r="N165" s="7" t="s">
        <v>50</v>
      </c>
      <c r="O165" s="7" t="s">
        <v>50</v>
      </c>
      <c r="P165" s="7" t="s">
        <v>50</v>
      </c>
      <c r="Q165" s="7" t="s">
        <v>50</v>
      </c>
      <c r="R165" s="8" t="s">
        <v>51</v>
      </c>
      <c r="S165" t="s">
        <v>52</v>
      </c>
      <c r="T165" t="s">
        <v>53</v>
      </c>
      <c r="U165" s="8" t="s">
        <v>598</v>
      </c>
      <c r="V165" s="8" t="s">
        <v>583</v>
      </c>
      <c r="W165" s="11" t="s">
        <v>132</v>
      </c>
      <c r="X165" t="s">
        <v>90</v>
      </c>
      <c r="Y165" t="s">
        <v>365</v>
      </c>
      <c r="Z165">
        <v>151</v>
      </c>
      <c r="AA165">
        <v>229</v>
      </c>
      <c r="AB165" s="19">
        <f t="shared" si="2"/>
        <v>0.65938864628820959</v>
      </c>
      <c r="AC165" t="s">
        <v>118</v>
      </c>
    </row>
    <row r="166" spans="1:29" x14ac:dyDescent="0.25">
      <c r="A166" s="6">
        <v>595</v>
      </c>
      <c r="B166" s="6" t="s">
        <v>198</v>
      </c>
      <c r="C166" s="6" t="s">
        <v>199</v>
      </c>
      <c r="D166" s="6" t="s">
        <v>26</v>
      </c>
      <c r="E166" s="6" t="s">
        <v>180</v>
      </c>
      <c r="F166" s="7">
        <v>2017</v>
      </c>
      <c r="G166" s="7">
        <v>15</v>
      </c>
      <c r="H166" s="7">
        <v>1</v>
      </c>
      <c r="I166" s="7">
        <v>1</v>
      </c>
      <c r="J166" s="7">
        <v>16</v>
      </c>
      <c r="K166" s="6" t="s">
        <v>15</v>
      </c>
      <c r="L166" s="8" t="s">
        <v>525</v>
      </c>
      <c r="M166" s="7" t="s">
        <v>357</v>
      </c>
      <c r="N166" s="7" t="s">
        <v>50</v>
      </c>
      <c r="O166" s="7" t="s">
        <v>50</v>
      </c>
      <c r="P166" s="7" t="s">
        <v>50</v>
      </c>
      <c r="Q166" s="7" t="s">
        <v>50</v>
      </c>
      <c r="R166" s="8" t="s">
        <v>51</v>
      </c>
      <c r="S166" t="s">
        <v>52</v>
      </c>
      <c r="T166" t="s">
        <v>53</v>
      </c>
      <c r="U166" s="8" t="s">
        <v>598</v>
      </c>
      <c r="V166" s="8" t="s">
        <v>583</v>
      </c>
      <c r="W166" s="11" t="s">
        <v>132</v>
      </c>
      <c r="X166" t="s">
        <v>90</v>
      </c>
      <c r="Y166" t="s">
        <v>364</v>
      </c>
      <c r="Z166">
        <v>46</v>
      </c>
      <c r="AA166">
        <v>75</v>
      </c>
      <c r="AB166" s="19">
        <f t="shared" si="2"/>
        <v>0.61333333333333329</v>
      </c>
      <c r="AC166" t="s">
        <v>118</v>
      </c>
    </row>
    <row r="167" spans="1:29" x14ac:dyDescent="0.25">
      <c r="A167" s="6">
        <v>1080</v>
      </c>
      <c r="B167" s="6" t="s">
        <v>239</v>
      </c>
      <c r="C167" s="6" t="s">
        <v>240</v>
      </c>
      <c r="D167" s="6" t="s">
        <v>26</v>
      </c>
      <c r="E167" s="6" t="s">
        <v>202</v>
      </c>
      <c r="F167" s="7">
        <v>2017</v>
      </c>
      <c r="G167" s="7">
        <v>64</v>
      </c>
      <c r="H167" s="7" t="s">
        <v>184</v>
      </c>
      <c r="I167" s="7">
        <v>11</v>
      </c>
      <c r="J167" s="7">
        <v>20</v>
      </c>
      <c r="K167" s="6" t="s">
        <v>15</v>
      </c>
      <c r="L167" s="7" t="s">
        <v>536</v>
      </c>
      <c r="M167" s="7" t="s">
        <v>50</v>
      </c>
      <c r="N167" s="7" t="s">
        <v>50</v>
      </c>
      <c r="O167" s="7" t="s">
        <v>50</v>
      </c>
      <c r="P167" s="7" t="s">
        <v>50</v>
      </c>
      <c r="Q167" s="7" t="s">
        <v>50</v>
      </c>
      <c r="R167" s="7" t="s">
        <v>50</v>
      </c>
      <c r="S167" s="7" t="s">
        <v>52</v>
      </c>
      <c r="T167" s="7" t="s">
        <v>53</v>
      </c>
      <c r="U167" s="8" t="s">
        <v>598</v>
      </c>
      <c r="V167" s="8" t="s">
        <v>583</v>
      </c>
      <c r="W167" s="8" t="s">
        <v>461</v>
      </c>
      <c r="X167" s="8" t="s">
        <v>443</v>
      </c>
      <c r="Y167" t="s">
        <v>394</v>
      </c>
      <c r="Z167">
        <v>235</v>
      </c>
      <c r="AA167">
        <v>316</v>
      </c>
      <c r="AB167" s="19">
        <f t="shared" si="2"/>
        <v>0.74367088607594933</v>
      </c>
      <c r="AC167" t="s">
        <v>84</v>
      </c>
    </row>
    <row r="168" spans="1:29" s="20" customFormat="1" x14ac:dyDescent="0.25">
      <c r="A168" s="20">
        <v>597</v>
      </c>
      <c r="B168" s="20" t="s">
        <v>122</v>
      </c>
      <c r="C168" s="20" t="s">
        <v>123</v>
      </c>
      <c r="D168" s="20" t="s">
        <v>26</v>
      </c>
      <c r="E168" s="20" t="s">
        <v>124</v>
      </c>
      <c r="F168" s="21">
        <v>2015</v>
      </c>
      <c r="G168" s="21">
        <v>18</v>
      </c>
      <c r="H168" s="21">
        <v>5</v>
      </c>
      <c r="I168" s="21">
        <v>454</v>
      </c>
      <c r="J168" s="21">
        <v>469</v>
      </c>
      <c r="K168" s="20" t="s">
        <v>15</v>
      </c>
      <c r="L168" s="21" t="s">
        <v>527</v>
      </c>
      <c r="M168" s="20" t="s">
        <v>126</v>
      </c>
      <c r="N168" s="20" t="s">
        <v>125</v>
      </c>
      <c r="O168" s="20" t="s">
        <v>50</v>
      </c>
      <c r="P168" s="20" t="s">
        <v>50</v>
      </c>
      <c r="Q168" s="20" t="s">
        <v>50</v>
      </c>
      <c r="R168" s="20" t="s">
        <v>51</v>
      </c>
      <c r="S168" s="20" t="s">
        <v>52</v>
      </c>
      <c r="T168" s="20" t="s">
        <v>53</v>
      </c>
      <c r="U168" s="21" t="s">
        <v>585</v>
      </c>
      <c r="V168" s="21" t="s">
        <v>583</v>
      </c>
      <c r="W168" s="22" t="s">
        <v>134</v>
      </c>
      <c r="X168" s="20" t="s">
        <v>90</v>
      </c>
      <c r="Y168" s="20" t="s">
        <v>127</v>
      </c>
      <c r="Z168" s="20">
        <v>100</v>
      </c>
      <c r="AA168" s="20">
        <v>110</v>
      </c>
      <c r="AB168" s="26">
        <f t="shared" si="2"/>
        <v>0.90909090909090906</v>
      </c>
      <c r="AC168" s="20" t="s">
        <v>118</v>
      </c>
    </row>
    <row r="169" spans="1:29" s="20" customFormat="1" x14ac:dyDescent="0.25">
      <c r="A169" s="20">
        <v>596</v>
      </c>
      <c r="B169" s="20" t="s">
        <v>200</v>
      </c>
      <c r="C169" s="20" t="s">
        <v>201</v>
      </c>
      <c r="D169" s="20" t="s">
        <v>26</v>
      </c>
      <c r="E169" s="20" t="s">
        <v>202</v>
      </c>
      <c r="F169" s="21">
        <v>2016</v>
      </c>
      <c r="G169" s="21">
        <v>57</v>
      </c>
      <c r="H169" s="21" t="s">
        <v>184</v>
      </c>
      <c r="I169" s="21">
        <v>52</v>
      </c>
      <c r="J169" s="21">
        <v>59</v>
      </c>
      <c r="K169" s="20" t="s">
        <v>15</v>
      </c>
      <c r="L169" s="21" t="s">
        <v>526</v>
      </c>
      <c r="M169" s="21" t="s">
        <v>126</v>
      </c>
      <c r="N169" s="21" t="s">
        <v>50</v>
      </c>
      <c r="O169" s="21" t="s">
        <v>50</v>
      </c>
      <c r="P169" s="21" t="s">
        <v>50</v>
      </c>
      <c r="Q169" s="21" t="s">
        <v>50</v>
      </c>
      <c r="R169" s="21" t="s">
        <v>51</v>
      </c>
      <c r="S169" s="20" t="s">
        <v>52</v>
      </c>
      <c r="T169" s="20" t="s">
        <v>53</v>
      </c>
      <c r="U169" s="21" t="s">
        <v>585</v>
      </c>
      <c r="V169" s="21" t="s">
        <v>583</v>
      </c>
      <c r="W169" s="22" t="s">
        <v>134</v>
      </c>
      <c r="X169" s="20" t="s">
        <v>90</v>
      </c>
      <c r="Y169" s="20" t="s">
        <v>365</v>
      </c>
      <c r="Z169" s="20">
        <v>218</v>
      </c>
      <c r="AA169" s="20">
        <v>229</v>
      </c>
      <c r="AB169" s="26">
        <f t="shared" si="2"/>
        <v>0.95196506550218341</v>
      </c>
      <c r="AC169" s="20" t="s">
        <v>118</v>
      </c>
    </row>
    <row r="170" spans="1:29" s="20" customFormat="1" x14ac:dyDescent="0.25">
      <c r="A170" s="20">
        <v>595</v>
      </c>
      <c r="B170" s="20" t="s">
        <v>198</v>
      </c>
      <c r="C170" s="20" t="s">
        <v>199</v>
      </c>
      <c r="D170" s="20" t="s">
        <v>26</v>
      </c>
      <c r="E170" s="20" t="s">
        <v>180</v>
      </c>
      <c r="F170" s="21">
        <v>2017</v>
      </c>
      <c r="G170" s="21">
        <v>15</v>
      </c>
      <c r="H170" s="21">
        <v>1</v>
      </c>
      <c r="I170" s="21">
        <v>1</v>
      </c>
      <c r="J170" s="21">
        <v>16</v>
      </c>
      <c r="K170" s="20" t="s">
        <v>15</v>
      </c>
      <c r="L170" s="21" t="s">
        <v>525</v>
      </c>
      <c r="M170" s="21" t="s">
        <v>357</v>
      </c>
      <c r="N170" s="21" t="s">
        <v>50</v>
      </c>
      <c r="O170" s="21" t="s">
        <v>50</v>
      </c>
      <c r="P170" s="21" t="s">
        <v>50</v>
      </c>
      <c r="Q170" s="21" t="s">
        <v>50</v>
      </c>
      <c r="R170" s="21" t="s">
        <v>51</v>
      </c>
      <c r="S170" s="20" t="s">
        <v>52</v>
      </c>
      <c r="T170" s="20" t="s">
        <v>53</v>
      </c>
      <c r="U170" s="21" t="s">
        <v>585</v>
      </c>
      <c r="V170" s="21" t="s">
        <v>583</v>
      </c>
      <c r="W170" s="22" t="s">
        <v>134</v>
      </c>
      <c r="X170" s="20" t="s">
        <v>90</v>
      </c>
      <c r="Y170" s="20" t="s">
        <v>364</v>
      </c>
      <c r="Z170" s="20">
        <v>66</v>
      </c>
      <c r="AA170" s="20">
        <v>75</v>
      </c>
      <c r="AB170" s="26">
        <f t="shared" si="2"/>
        <v>0.88</v>
      </c>
      <c r="AC170" s="20" t="s">
        <v>118</v>
      </c>
    </row>
    <row r="171" spans="1:29" s="20" customFormat="1" x14ac:dyDescent="0.25">
      <c r="A171" s="20">
        <v>1080</v>
      </c>
      <c r="B171" s="20" t="s">
        <v>239</v>
      </c>
      <c r="C171" s="20" t="s">
        <v>240</v>
      </c>
      <c r="D171" s="20" t="s">
        <v>26</v>
      </c>
      <c r="E171" s="20" t="s">
        <v>202</v>
      </c>
      <c r="F171" s="21">
        <v>2017</v>
      </c>
      <c r="G171" s="21">
        <v>64</v>
      </c>
      <c r="H171" s="21" t="s">
        <v>184</v>
      </c>
      <c r="I171" s="21">
        <v>11</v>
      </c>
      <c r="J171" s="21">
        <v>20</v>
      </c>
      <c r="K171" s="20" t="s">
        <v>15</v>
      </c>
      <c r="L171" s="21" t="s">
        <v>536</v>
      </c>
      <c r="M171" s="21" t="s">
        <v>50</v>
      </c>
      <c r="N171" s="21" t="s">
        <v>50</v>
      </c>
      <c r="O171" s="21" t="s">
        <v>50</v>
      </c>
      <c r="P171" s="21" t="s">
        <v>50</v>
      </c>
      <c r="Q171" s="21" t="s">
        <v>50</v>
      </c>
      <c r="R171" s="21" t="s">
        <v>50</v>
      </c>
      <c r="S171" s="21" t="s">
        <v>52</v>
      </c>
      <c r="T171" s="21" t="s">
        <v>53</v>
      </c>
      <c r="U171" s="21" t="s">
        <v>585</v>
      </c>
      <c r="V171" s="21" t="s">
        <v>583</v>
      </c>
      <c r="W171" s="21" t="s">
        <v>457</v>
      </c>
      <c r="X171" s="21" t="s">
        <v>443</v>
      </c>
      <c r="Y171" s="20" t="s">
        <v>394</v>
      </c>
      <c r="Z171" s="20">
        <v>297</v>
      </c>
      <c r="AA171" s="20">
        <v>316</v>
      </c>
      <c r="AB171" s="26">
        <f t="shared" si="2"/>
        <v>0.939873417721519</v>
      </c>
      <c r="AC171" s="20" t="s">
        <v>84</v>
      </c>
    </row>
    <row r="172" spans="1:29" x14ac:dyDescent="0.25">
      <c r="A172" s="6">
        <v>597</v>
      </c>
      <c r="B172" s="6" t="s">
        <v>122</v>
      </c>
      <c r="C172" s="6" t="s">
        <v>123</v>
      </c>
      <c r="D172" s="6" t="s">
        <v>26</v>
      </c>
      <c r="E172" s="6" t="s">
        <v>124</v>
      </c>
      <c r="F172" s="7">
        <v>2015</v>
      </c>
      <c r="G172" s="7">
        <v>18</v>
      </c>
      <c r="H172" s="7">
        <v>5</v>
      </c>
      <c r="I172" s="7">
        <v>454</v>
      </c>
      <c r="J172" s="7">
        <v>469</v>
      </c>
      <c r="K172" t="s">
        <v>15</v>
      </c>
      <c r="L172" s="8" t="s">
        <v>527</v>
      </c>
      <c r="M172" t="s">
        <v>126</v>
      </c>
      <c r="N172" t="s">
        <v>125</v>
      </c>
      <c r="O172" t="s">
        <v>50</v>
      </c>
      <c r="P172" t="s">
        <v>50</v>
      </c>
      <c r="Q172" t="s">
        <v>50</v>
      </c>
      <c r="R172" t="s">
        <v>51</v>
      </c>
      <c r="S172" t="s">
        <v>52</v>
      </c>
      <c r="T172" t="s">
        <v>53</v>
      </c>
      <c r="U172" s="8" t="s">
        <v>586</v>
      </c>
      <c r="V172" s="8" t="s">
        <v>583</v>
      </c>
      <c r="W172" s="11" t="s">
        <v>133</v>
      </c>
      <c r="X172" t="s">
        <v>90</v>
      </c>
      <c r="Y172" t="s">
        <v>127</v>
      </c>
      <c r="Z172">
        <v>98</v>
      </c>
      <c r="AA172">
        <v>110</v>
      </c>
      <c r="AB172" s="19">
        <f t="shared" si="2"/>
        <v>0.89090909090909087</v>
      </c>
      <c r="AC172" t="s">
        <v>118</v>
      </c>
    </row>
    <row r="173" spans="1:29" x14ac:dyDescent="0.25">
      <c r="A173" s="6">
        <v>596</v>
      </c>
      <c r="B173" s="6" t="s">
        <v>200</v>
      </c>
      <c r="C173" s="6" t="s">
        <v>201</v>
      </c>
      <c r="D173" s="6" t="s">
        <v>26</v>
      </c>
      <c r="E173" s="6" t="s">
        <v>202</v>
      </c>
      <c r="F173" s="7">
        <v>2016</v>
      </c>
      <c r="G173" s="7">
        <v>57</v>
      </c>
      <c r="H173" s="7" t="s">
        <v>184</v>
      </c>
      <c r="I173" s="7">
        <v>52</v>
      </c>
      <c r="J173" s="7">
        <v>59</v>
      </c>
      <c r="K173" s="6" t="s">
        <v>15</v>
      </c>
      <c r="L173" s="8" t="s">
        <v>526</v>
      </c>
      <c r="M173" s="8" t="s">
        <v>126</v>
      </c>
      <c r="N173" s="7" t="s">
        <v>50</v>
      </c>
      <c r="O173" s="7" t="s">
        <v>50</v>
      </c>
      <c r="P173" s="7" t="s">
        <v>50</v>
      </c>
      <c r="Q173" s="7" t="s">
        <v>50</v>
      </c>
      <c r="R173" s="8" t="s">
        <v>51</v>
      </c>
      <c r="S173" t="s">
        <v>52</v>
      </c>
      <c r="T173" t="s">
        <v>53</v>
      </c>
      <c r="U173" s="8" t="s">
        <v>586</v>
      </c>
      <c r="V173" s="8" t="s">
        <v>583</v>
      </c>
      <c r="W173" s="11" t="s">
        <v>133</v>
      </c>
      <c r="X173" t="s">
        <v>90</v>
      </c>
      <c r="Y173" t="s">
        <v>365</v>
      </c>
      <c r="Z173">
        <v>220</v>
      </c>
      <c r="AA173">
        <v>229</v>
      </c>
      <c r="AB173" s="19">
        <f t="shared" si="2"/>
        <v>0.9606986899563319</v>
      </c>
      <c r="AC173" t="s">
        <v>118</v>
      </c>
    </row>
    <row r="174" spans="1:29" x14ac:dyDescent="0.25">
      <c r="A174" s="6">
        <v>832</v>
      </c>
      <c r="B174" s="6" t="s">
        <v>225</v>
      </c>
      <c r="C174" s="6" t="s">
        <v>226</v>
      </c>
      <c r="D174" s="6" t="s">
        <v>26</v>
      </c>
      <c r="E174" s="6" t="s">
        <v>227</v>
      </c>
      <c r="F174" s="7">
        <v>2016</v>
      </c>
      <c r="G174" s="7">
        <v>79</v>
      </c>
      <c r="H174" s="7">
        <v>9</v>
      </c>
      <c r="I174" s="7">
        <v>1588</v>
      </c>
      <c r="J174" s="7">
        <v>1598</v>
      </c>
      <c r="K174" s="6" t="s">
        <v>15</v>
      </c>
      <c r="L174" s="8" t="s">
        <v>531</v>
      </c>
      <c r="M174" s="6" t="s">
        <v>495</v>
      </c>
      <c r="N174" s="7" t="s">
        <v>70</v>
      </c>
      <c r="O174" s="7" t="s">
        <v>50</v>
      </c>
      <c r="P174" s="7" t="s">
        <v>50</v>
      </c>
      <c r="Q174" s="7" t="s">
        <v>50</v>
      </c>
      <c r="R174" s="7" t="s">
        <v>51</v>
      </c>
      <c r="S174" t="s">
        <v>52</v>
      </c>
      <c r="T174" s="8" t="s">
        <v>53</v>
      </c>
      <c r="U174" s="8" t="s">
        <v>586</v>
      </c>
      <c r="V174" s="8" t="s">
        <v>583</v>
      </c>
      <c r="W174" s="8" t="s">
        <v>432</v>
      </c>
      <c r="X174" s="8" t="s">
        <v>90</v>
      </c>
      <c r="Y174" s="8" t="s">
        <v>493</v>
      </c>
      <c r="Z174">
        <f>272+205+156</f>
        <v>633</v>
      </c>
      <c r="AA174">
        <f>277+211+156</f>
        <v>644</v>
      </c>
      <c r="AB174" s="19">
        <f t="shared" si="2"/>
        <v>0.98291925465838514</v>
      </c>
      <c r="AC174" t="s">
        <v>118</v>
      </c>
    </row>
    <row r="175" spans="1:29" x14ac:dyDescent="0.25">
      <c r="A175" s="6">
        <v>595</v>
      </c>
      <c r="B175" s="6" t="s">
        <v>198</v>
      </c>
      <c r="C175" s="6" t="s">
        <v>199</v>
      </c>
      <c r="D175" s="6" t="s">
        <v>26</v>
      </c>
      <c r="E175" s="6" t="s">
        <v>180</v>
      </c>
      <c r="F175" s="7">
        <v>2017</v>
      </c>
      <c r="G175" s="7">
        <v>15</v>
      </c>
      <c r="H175" s="7">
        <v>1</v>
      </c>
      <c r="I175" s="7">
        <v>1</v>
      </c>
      <c r="J175" s="7">
        <v>16</v>
      </c>
      <c r="K175" s="6" t="s">
        <v>15</v>
      </c>
      <c r="L175" s="8" t="s">
        <v>525</v>
      </c>
      <c r="M175" s="7" t="s">
        <v>357</v>
      </c>
      <c r="N175" s="7" t="s">
        <v>50</v>
      </c>
      <c r="O175" s="7" t="s">
        <v>50</v>
      </c>
      <c r="P175" s="7" t="s">
        <v>50</v>
      </c>
      <c r="Q175" s="7" t="s">
        <v>50</v>
      </c>
      <c r="R175" s="8" t="s">
        <v>51</v>
      </c>
      <c r="S175" t="s">
        <v>52</v>
      </c>
      <c r="T175" t="s">
        <v>53</v>
      </c>
      <c r="U175" s="8" t="s">
        <v>586</v>
      </c>
      <c r="V175" s="8" t="s">
        <v>583</v>
      </c>
      <c r="W175" s="11" t="s">
        <v>133</v>
      </c>
      <c r="X175" t="s">
        <v>90</v>
      </c>
      <c r="Y175" t="s">
        <v>364</v>
      </c>
      <c r="Z175">
        <v>68</v>
      </c>
      <c r="AA175">
        <v>75</v>
      </c>
      <c r="AB175" s="19">
        <f t="shared" si="2"/>
        <v>0.90666666666666662</v>
      </c>
      <c r="AC175" t="s">
        <v>118</v>
      </c>
    </row>
    <row r="176" spans="1:29" x14ac:dyDescent="0.25">
      <c r="A176" s="6">
        <v>1080</v>
      </c>
      <c r="B176" s="6" t="s">
        <v>239</v>
      </c>
      <c r="C176" s="6" t="s">
        <v>240</v>
      </c>
      <c r="D176" s="6" t="s">
        <v>26</v>
      </c>
      <c r="E176" s="6" t="s">
        <v>202</v>
      </c>
      <c r="F176" s="7">
        <v>2017</v>
      </c>
      <c r="G176" s="7">
        <v>64</v>
      </c>
      <c r="H176" s="7" t="s">
        <v>184</v>
      </c>
      <c r="I176" s="7">
        <v>11</v>
      </c>
      <c r="J176" s="7">
        <v>20</v>
      </c>
      <c r="K176" s="6" t="s">
        <v>15</v>
      </c>
      <c r="L176" s="7" t="s">
        <v>536</v>
      </c>
      <c r="M176" s="7" t="s">
        <v>50</v>
      </c>
      <c r="N176" s="7" t="s">
        <v>50</v>
      </c>
      <c r="O176" s="7" t="s">
        <v>50</v>
      </c>
      <c r="P176" s="7" t="s">
        <v>50</v>
      </c>
      <c r="Q176" s="7" t="s">
        <v>50</v>
      </c>
      <c r="R176" s="7" t="s">
        <v>50</v>
      </c>
      <c r="S176" s="7" t="s">
        <v>52</v>
      </c>
      <c r="T176" s="7" t="s">
        <v>53</v>
      </c>
      <c r="U176" s="8" t="s">
        <v>586</v>
      </c>
      <c r="V176" s="8" t="s">
        <v>583</v>
      </c>
      <c r="W176" s="8" t="s">
        <v>456</v>
      </c>
      <c r="X176" s="8" t="s">
        <v>443</v>
      </c>
      <c r="Y176" t="s">
        <v>394</v>
      </c>
      <c r="Z176">
        <v>301</v>
      </c>
      <c r="AA176">
        <v>316</v>
      </c>
      <c r="AB176" s="19">
        <f t="shared" si="2"/>
        <v>0.95253164556962022</v>
      </c>
      <c r="AC176" t="s">
        <v>84</v>
      </c>
    </row>
    <row r="177" spans="1:29" s="20" customFormat="1" x14ac:dyDescent="0.25">
      <c r="A177" s="20">
        <v>597</v>
      </c>
      <c r="B177" s="20" t="s">
        <v>122</v>
      </c>
      <c r="C177" s="20" t="s">
        <v>123</v>
      </c>
      <c r="D177" s="20" t="s">
        <v>26</v>
      </c>
      <c r="E177" s="20" t="s">
        <v>124</v>
      </c>
      <c r="F177" s="21">
        <v>2015</v>
      </c>
      <c r="G177" s="21">
        <v>18</v>
      </c>
      <c r="H177" s="21">
        <v>5</v>
      </c>
      <c r="I177" s="21">
        <v>454</v>
      </c>
      <c r="J177" s="21">
        <v>469</v>
      </c>
      <c r="K177" s="20" t="s">
        <v>15</v>
      </c>
      <c r="L177" s="21" t="s">
        <v>527</v>
      </c>
      <c r="M177" s="20" t="s">
        <v>126</v>
      </c>
      <c r="N177" s="20" t="s">
        <v>125</v>
      </c>
      <c r="O177" s="20" t="s">
        <v>50</v>
      </c>
      <c r="P177" s="20" t="s">
        <v>50</v>
      </c>
      <c r="Q177" s="20" t="s">
        <v>50</v>
      </c>
      <c r="R177" s="20" t="s">
        <v>51</v>
      </c>
      <c r="S177" s="20" t="s">
        <v>52</v>
      </c>
      <c r="T177" s="20" t="s">
        <v>53</v>
      </c>
      <c r="U177" s="21" t="s">
        <v>587</v>
      </c>
      <c r="V177" s="21" t="s">
        <v>583</v>
      </c>
      <c r="W177" s="22" t="s">
        <v>135</v>
      </c>
      <c r="X177" s="20" t="s">
        <v>90</v>
      </c>
      <c r="Y177" s="20" t="s">
        <v>127</v>
      </c>
      <c r="Z177" s="20">
        <v>100</v>
      </c>
      <c r="AA177" s="20">
        <v>110</v>
      </c>
      <c r="AB177" s="26">
        <f t="shared" si="2"/>
        <v>0.90909090909090906</v>
      </c>
      <c r="AC177" s="20" t="s">
        <v>118</v>
      </c>
    </row>
    <row r="178" spans="1:29" s="20" customFormat="1" x14ac:dyDescent="0.25">
      <c r="A178" s="20">
        <v>596</v>
      </c>
      <c r="B178" s="20" t="s">
        <v>200</v>
      </c>
      <c r="C178" s="20" t="s">
        <v>201</v>
      </c>
      <c r="D178" s="20" t="s">
        <v>26</v>
      </c>
      <c r="E178" s="20" t="s">
        <v>202</v>
      </c>
      <c r="F178" s="21">
        <v>2016</v>
      </c>
      <c r="G178" s="21">
        <v>57</v>
      </c>
      <c r="H178" s="21" t="s">
        <v>184</v>
      </c>
      <c r="I178" s="21">
        <v>52</v>
      </c>
      <c r="J178" s="21">
        <v>59</v>
      </c>
      <c r="K178" s="20" t="s">
        <v>15</v>
      </c>
      <c r="L178" s="21" t="s">
        <v>526</v>
      </c>
      <c r="M178" s="21" t="s">
        <v>126</v>
      </c>
      <c r="N178" s="21" t="s">
        <v>50</v>
      </c>
      <c r="O178" s="21" t="s">
        <v>50</v>
      </c>
      <c r="P178" s="21" t="s">
        <v>50</v>
      </c>
      <c r="Q178" s="21" t="s">
        <v>50</v>
      </c>
      <c r="R178" s="21" t="s">
        <v>51</v>
      </c>
      <c r="S178" s="20" t="s">
        <v>52</v>
      </c>
      <c r="T178" s="20" t="s">
        <v>53</v>
      </c>
      <c r="U178" s="21" t="s">
        <v>587</v>
      </c>
      <c r="V178" s="21" t="s">
        <v>583</v>
      </c>
      <c r="W178" s="22" t="s">
        <v>135</v>
      </c>
      <c r="X178" s="20" t="s">
        <v>90</v>
      </c>
      <c r="Y178" s="20" t="s">
        <v>365</v>
      </c>
      <c r="Z178" s="20">
        <v>222</v>
      </c>
      <c r="AA178" s="20">
        <v>229</v>
      </c>
      <c r="AB178" s="26">
        <f t="shared" si="2"/>
        <v>0.96943231441048039</v>
      </c>
      <c r="AC178" s="20" t="s">
        <v>118</v>
      </c>
    </row>
    <row r="179" spans="1:29" s="20" customFormat="1" x14ac:dyDescent="0.25">
      <c r="A179" s="20">
        <v>832</v>
      </c>
      <c r="B179" s="20" t="s">
        <v>225</v>
      </c>
      <c r="C179" s="20" t="s">
        <v>226</v>
      </c>
      <c r="D179" s="20" t="s">
        <v>26</v>
      </c>
      <c r="E179" s="20" t="s">
        <v>227</v>
      </c>
      <c r="F179" s="21">
        <v>2016</v>
      </c>
      <c r="G179" s="21">
        <v>79</v>
      </c>
      <c r="H179" s="21">
        <v>9</v>
      </c>
      <c r="I179" s="21">
        <v>1588</v>
      </c>
      <c r="J179" s="21">
        <v>1598</v>
      </c>
      <c r="K179" s="20" t="s">
        <v>15</v>
      </c>
      <c r="L179" s="21" t="s">
        <v>531</v>
      </c>
      <c r="M179" s="20" t="s">
        <v>495</v>
      </c>
      <c r="N179" s="21" t="s">
        <v>70</v>
      </c>
      <c r="O179" s="21" t="s">
        <v>50</v>
      </c>
      <c r="P179" s="21" t="s">
        <v>50</v>
      </c>
      <c r="Q179" s="21" t="s">
        <v>50</v>
      </c>
      <c r="R179" s="21" t="s">
        <v>51</v>
      </c>
      <c r="S179" s="20" t="s">
        <v>52</v>
      </c>
      <c r="T179" s="21" t="s">
        <v>53</v>
      </c>
      <c r="U179" s="21" t="s">
        <v>587</v>
      </c>
      <c r="V179" s="21" t="s">
        <v>583</v>
      </c>
      <c r="W179" s="21" t="s">
        <v>433</v>
      </c>
      <c r="X179" s="21" t="s">
        <v>90</v>
      </c>
      <c r="Y179" s="21" t="s">
        <v>493</v>
      </c>
      <c r="Z179" s="20">
        <f>270+202+156</f>
        <v>628</v>
      </c>
      <c r="AA179" s="20">
        <f>277+211+156</f>
        <v>644</v>
      </c>
      <c r="AB179" s="26">
        <f t="shared" si="2"/>
        <v>0.97515527950310554</v>
      </c>
      <c r="AC179" s="20" t="s">
        <v>118</v>
      </c>
    </row>
    <row r="180" spans="1:29" s="20" customFormat="1" x14ac:dyDescent="0.25">
      <c r="A180" s="20">
        <v>595</v>
      </c>
      <c r="B180" s="20" t="s">
        <v>198</v>
      </c>
      <c r="C180" s="20" t="s">
        <v>199</v>
      </c>
      <c r="D180" s="20" t="s">
        <v>26</v>
      </c>
      <c r="E180" s="20" t="s">
        <v>180</v>
      </c>
      <c r="F180" s="21">
        <v>2017</v>
      </c>
      <c r="G180" s="21">
        <v>15</v>
      </c>
      <c r="H180" s="21">
        <v>1</v>
      </c>
      <c r="I180" s="21">
        <v>1</v>
      </c>
      <c r="J180" s="21">
        <v>16</v>
      </c>
      <c r="K180" s="20" t="s">
        <v>15</v>
      </c>
      <c r="L180" s="21" t="s">
        <v>525</v>
      </c>
      <c r="M180" s="21" t="s">
        <v>357</v>
      </c>
      <c r="N180" s="21" t="s">
        <v>50</v>
      </c>
      <c r="O180" s="21" t="s">
        <v>50</v>
      </c>
      <c r="P180" s="21" t="s">
        <v>50</v>
      </c>
      <c r="Q180" s="21" t="s">
        <v>50</v>
      </c>
      <c r="R180" s="21" t="s">
        <v>51</v>
      </c>
      <c r="S180" s="20" t="s">
        <v>52</v>
      </c>
      <c r="T180" s="20" t="s">
        <v>53</v>
      </c>
      <c r="U180" s="21" t="s">
        <v>587</v>
      </c>
      <c r="V180" s="21" t="s">
        <v>583</v>
      </c>
      <c r="W180" s="22" t="s">
        <v>135</v>
      </c>
      <c r="X180" s="20" t="s">
        <v>90</v>
      </c>
      <c r="Y180" s="20" t="s">
        <v>364</v>
      </c>
      <c r="Z180" s="20">
        <v>64</v>
      </c>
      <c r="AA180" s="20">
        <v>75</v>
      </c>
      <c r="AB180" s="26">
        <f t="shared" si="2"/>
        <v>0.85333333333333339</v>
      </c>
      <c r="AC180" s="20" t="s">
        <v>118</v>
      </c>
    </row>
    <row r="181" spans="1:29" s="20" customFormat="1" x14ac:dyDescent="0.25">
      <c r="A181" s="20">
        <v>1080</v>
      </c>
      <c r="B181" s="20" t="s">
        <v>239</v>
      </c>
      <c r="C181" s="20" t="s">
        <v>240</v>
      </c>
      <c r="D181" s="20" t="s">
        <v>26</v>
      </c>
      <c r="E181" s="20" t="s">
        <v>202</v>
      </c>
      <c r="F181" s="21">
        <v>2017</v>
      </c>
      <c r="G181" s="21">
        <v>64</v>
      </c>
      <c r="H181" s="21" t="s">
        <v>184</v>
      </c>
      <c r="I181" s="21">
        <v>11</v>
      </c>
      <c r="J181" s="21">
        <v>20</v>
      </c>
      <c r="K181" s="20" t="s">
        <v>15</v>
      </c>
      <c r="L181" s="21" t="s">
        <v>536</v>
      </c>
      <c r="M181" s="21" t="s">
        <v>50</v>
      </c>
      <c r="N181" s="21" t="s">
        <v>50</v>
      </c>
      <c r="O181" s="21" t="s">
        <v>50</v>
      </c>
      <c r="P181" s="21" t="s">
        <v>50</v>
      </c>
      <c r="Q181" s="21" t="s">
        <v>50</v>
      </c>
      <c r="R181" s="21" t="s">
        <v>50</v>
      </c>
      <c r="S181" s="21" t="s">
        <v>52</v>
      </c>
      <c r="T181" s="21" t="s">
        <v>53</v>
      </c>
      <c r="U181" s="21" t="s">
        <v>587</v>
      </c>
      <c r="V181" s="21" t="s">
        <v>583</v>
      </c>
      <c r="W181" s="21" t="s">
        <v>455</v>
      </c>
      <c r="X181" s="21" t="s">
        <v>443</v>
      </c>
      <c r="Y181" s="20" t="s">
        <v>394</v>
      </c>
      <c r="Z181" s="20">
        <v>308</v>
      </c>
      <c r="AA181" s="20">
        <v>316</v>
      </c>
      <c r="AB181" s="26">
        <f t="shared" si="2"/>
        <v>0.97468354430379744</v>
      </c>
      <c r="AC181" s="20" t="s">
        <v>84</v>
      </c>
    </row>
    <row r="182" spans="1:29" x14ac:dyDescent="0.25">
      <c r="A182" s="6">
        <v>597</v>
      </c>
      <c r="B182" s="6" t="s">
        <v>122</v>
      </c>
      <c r="C182" s="6" t="s">
        <v>123</v>
      </c>
      <c r="D182" s="6" t="s">
        <v>26</v>
      </c>
      <c r="E182" s="6" t="s">
        <v>124</v>
      </c>
      <c r="F182" s="7">
        <v>2015</v>
      </c>
      <c r="G182" s="7">
        <v>18</v>
      </c>
      <c r="H182" s="7">
        <v>5</v>
      </c>
      <c r="I182" s="7">
        <v>454</v>
      </c>
      <c r="J182" s="7">
        <v>469</v>
      </c>
      <c r="K182" t="s">
        <v>15</v>
      </c>
      <c r="L182" s="8" t="s">
        <v>527</v>
      </c>
      <c r="M182" t="s">
        <v>126</v>
      </c>
      <c r="N182" t="s">
        <v>125</v>
      </c>
      <c r="O182" t="s">
        <v>50</v>
      </c>
      <c r="P182" t="s">
        <v>50</v>
      </c>
      <c r="Q182" t="s">
        <v>50</v>
      </c>
      <c r="R182" t="s">
        <v>51</v>
      </c>
      <c r="S182" t="s">
        <v>52</v>
      </c>
      <c r="T182" t="s">
        <v>53</v>
      </c>
      <c r="U182" s="11" t="s">
        <v>588</v>
      </c>
      <c r="V182" s="8" t="s">
        <v>583</v>
      </c>
      <c r="W182" s="11" t="s">
        <v>136</v>
      </c>
      <c r="X182" t="s">
        <v>90</v>
      </c>
      <c r="Y182" t="s">
        <v>127</v>
      </c>
      <c r="Z182">
        <v>82</v>
      </c>
      <c r="AA182">
        <v>110</v>
      </c>
      <c r="AB182" s="19">
        <f t="shared" si="2"/>
        <v>0.74545454545454548</v>
      </c>
      <c r="AC182" t="s">
        <v>118</v>
      </c>
    </row>
    <row r="183" spans="1:29" x14ac:dyDescent="0.25">
      <c r="A183" s="6">
        <v>596</v>
      </c>
      <c r="B183" s="6" t="s">
        <v>200</v>
      </c>
      <c r="C183" s="6" t="s">
        <v>201</v>
      </c>
      <c r="D183" s="6" t="s">
        <v>26</v>
      </c>
      <c r="E183" s="6" t="s">
        <v>202</v>
      </c>
      <c r="F183" s="7">
        <v>2016</v>
      </c>
      <c r="G183" s="7">
        <v>57</v>
      </c>
      <c r="H183" s="7" t="s">
        <v>184</v>
      </c>
      <c r="I183" s="7">
        <v>52</v>
      </c>
      <c r="J183" s="7">
        <v>59</v>
      </c>
      <c r="K183" s="6" t="s">
        <v>15</v>
      </c>
      <c r="L183" s="8" t="s">
        <v>526</v>
      </c>
      <c r="M183" s="8" t="s">
        <v>126</v>
      </c>
      <c r="N183" s="7" t="s">
        <v>50</v>
      </c>
      <c r="O183" s="7" t="s">
        <v>50</v>
      </c>
      <c r="P183" s="7" t="s">
        <v>50</v>
      </c>
      <c r="Q183" s="7" t="s">
        <v>50</v>
      </c>
      <c r="R183" s="8" t="s">
        <v>51</v>
      </c>
      <c r="S183" t="s">
        <v>52</v>
      </c>
      <c r="T183" t="s">
        <v>53</v>
      </c>
      <c r="U183" s="11" t="s">
        <v>588</v>
      </c>
      <c r="V183" s="8" t="s">
        <v>583</v>
      </c>
      <c r="W183" s="11" t="s">
        <v>136</v>
      </c>
      <c r="X183" t="s">
        <v>90</v>
      </c>
      <c r="Y183" t="s">
        <v>365</v>
      </c>
      <c r="Z183">
        <v>188</v>
      </c>
      <c r="AA183">
        <v>229</v>
      </c>
      <c r="AB183" s="19">
        <f t="shared" si="2"/>
        <v>0.82096069868995636</v>
      </c>
      <c r="AC183" t="s">
        <v>118</v>
      </c>
    </row>
    <row r="184" spans="1:29" x14ac:dyDescent="0.25">
      <c r="A184" s="6">
        <v>595</v>
      </c>
      <c r="B184" s="6" t="s">
        <v>198</v>
      </c>
      <c r="C184" s="6" t="s">
        <v>199</v>
      </c>
      <c r="D184" s="6" t="s">
        <v>26</v>
      </c>
      <c r="E184" s="6" t="s">
        <v>180</v>
      </c>
      <c r="F184" s="7">
        <v>2017</v>
      </c>
      <c r="G184" s="7">
        <v>15</v>
      </c>
      <c r="H184" s="7">
        <v>1</v>
      </c>
      <c r="I184" s="7">
        <v>1</v>
      </c>
      <c r="J184" s="7">
        <v>16</v>
      </c>
      <c r="K184" s="6" t="s">
        <v>15</v>
      </c>
      <c r="L184" s="8" t="s">
        <v>525</v>
      </c>
      <c r="M184" s="7" t="s">
        <v>357</v>
      </c>
      <c r="N184" s="7" t="s">
        <v>50</v>
      </c>
      <c r="O184" s="7" t="s">
        <v>50</v>
      </c>
      <c r="P184" s="7" t="s">
        <v>50</v>
      </c>
      <c r="Q184" s="7" t="s">
        <v>50</v>
      </c>
      <c r="R184" s="8" t="s">
        <v>51</v>
      </c>
      <c r="S184" t="s">
        <v>52</v>
      </c>
      <c r="T184" t="s">
        <v>53</v>
      </c>
      <c r="U184" s="11" t="s">
        <v>588</v>
      </c>
      <c r="V184" s="8" t="s">
        <v>583</v>
      </c>
      <c r="W184" s="11" t="s">
        <v>136</v>
      </c>
      <c r="X184" t="s">
        <v>90</v>
      </c>
      <c r="Y184" t="s">
        <v>364</v>
      </c>
      <c r="Z184">
        <v>60</v>
      </c>
      <c r="AA184">
        <v>75</v>
      </c>
      <c r="AB184" s="19">
        <f t="shared" si="2"/>
        <v>0.8</v>
      </c>
      <c r="AC184" t="s">
        <v>118</v>
      </c>
    </row>
    <row r="185" spans="1:29" x14ac:dyDescent="0.25">
      <c r="A185" s="6">
        <v>1080</v>
      </c>
      <c r="B185" s="6" t="s">
        <v>239</v>
      </c>
      <c r="C185" s="6" t="s">
        <v>240</v>
      </c>
      <c r="D185" s="6" t="s">
        <v>26</v>
      </c>
      <c r="E185" s="6" t="s">
        <v>202</v>
      </c>
      <c r="F185" s="7">
        <v>2017</v>
      </c>
      <c r="G185" s="7">
        <v>64</v>
      </c>
      <c r="H185" s="7" t="s">
        <v>184</v>
      </c>
      <c r="I185" s="7">
        <v>11</v>
      </c>
      <c r="J185" s="7">
        <v>20</v>
      </c>
      <c r="K185" s="6" t="s">
        <v>15</v>
      </c>
      <c r="L185" s="7" t="s">
        <v>536</v>
      </c>
      <c r="M185" s="7" t="s">
        <v>50</v>
      </c>
      <c r="N185" s="7" t="s">
        <v>50</v>
      </c>
      <c r="O185" s="7" t="s">
        <v>50</v>
      </c>
      <c r="P185" s="7" t="s">
        <v>50</v>
      </c>
      <c r="Q185" s="7" t="s">
        <v>50</v>
      </c>
      <c r="R185" s="7" t="s">
        <v>50</v>
      </c>
      <c r="S185" s="7" t="s">
        <v>52</v>
      </c>
      <c r="T185" s="7" t="s">
        <v>53</v>
      </c>
      <c r="U185" s="11" t="s">
        <v>588</v>
      </c>
      <c r="V185" s="8" t="s">
        <v>583</v>
      </c>
      <c r="W185" s="8" t="s">
        <v>459</v>
      </c>
      <c r="X185" s="8" t="s">
        <v>443</v>
      </c>
      <c r="Y185" t="s">
        <v>394</v>
      </c>
      <c r="Z185">
        <v>262</v>
      </c>
      <c r="AA185">
        <v>316</v>
      </c>
      <c r="AB185" s="19">
        <f t="shared" si="2"/>
        <v>0.82911392405063289</v>
      </c>
      <c r="AC185" t="s">
        <v>84</v>
      </c>
    </row>
    <row r="186" spans="1:29" s="20" customFormat="1" x14ac:dyDescent="0.25">
      <c r="A186" s="20">
        <v>597</v>
      </c>
      <c r="B186" s="20" t="s">
        <v>122</v>
      </c>
      <c r="C186" s="20" t="s">
        <v>123</v>
      </c>
      <c r="D186" s="20" t="s">
        <v>26</v>
      </c>
      <c r="E186" s="20" t="s">
        <v>124</v>
      </c>
      <c r="F186" s="21">
        <v>2015</v>
      </c>
      <c r="G186" s="21">
        <v>18</v>
      </c>
      <c r="H186" s="21">
        <v>5</v>
      </c>
      <c r="I186" s="21">
        <v>454</v>
      </c>
      <c r="J186" s="21">
        <v>469</v>
      </c>
      <c r="K186" s="20" t="s">
        <v>15</v>
      </c>
      <c r="L186" s="21" t="s">
        <v>527</v>
      </c>
      <c r="M186" s="20" t="s">
        <v>126</v>
      </c>
      <c r="N186" s="20" t="s">
        <v>125</v>
      </c>
      <c r="O186" s="20" t="s">
        <v>50</v>
      </c>
      <c r="P186" s="20" t="s">
        <v>50</v>
      </c>
      <c r="Q186" s="20" t="s">
        <v>50</v>
      </c>
      <c r="R186" s="20" t="s">
        <v>51</v>
      </c>
      <c r="S186" s="20" t="s">
        <v>52</v>
      </c>
      <c r="T186" s="20" t="s">
        <v>53</v>
      </c>
      <c r="U186" s="21" t="s">
        <v>589</v>
      </c>
      <c r="V186" s="21" t="s">
        <v>583</v>
      </c>
      <c r="W186" s="22" t="s">
        <v>137</v>
      </c>
      <c r="X186" s="20" t="s">
        <v>90</v>
      </c>
      <c r="Y186" s="20" t="s">
        <v>127</v>
      </c>
      <c r="Z186" s="20">
        <v>86</v>
      </c>
      <c r="AA186" s="20">
        <v>110</v>
      </c>
      <c r="AB186" s="26">
        <f t="shared" si="2"/>
        <v>0.78181818181818186</v>
      </c>
      <c r="AC186" s="20" t="s">
        <v>118</v>
      </c>
    </row>
    <row r="187" spans="1:29" s="20" customFormat="1" x14ac:dyDescent="0.25">
      <c r="A187" s="20">
        <v>596</v>
      </c>
      <c r="B187" s="20" t="s">
        <v>200</v>
      </c>
      <c r="C187" s="20" t="s">
        <v>201</v>
      </c>
      <c r="D187" s="20" t="s">
        <v>26</v>
      </c>
      <c r="E187" s="20" t="s">
        <v>202</v>
      </c>
      <c r="F187" s="21">
        <v>2016</v>
      </c>
      <c r="G187" s="21">
        <v>57</v>
      </c>
      <c r="H187" s="21" t="s">
        <v>184</v>
      </c>
      <c r="I187" s="21">
        <v>52</v>
      </c>
      <c r="J187" s="21">
        <v>59</v>
      </c>
      <c r="K187" s="20" t="s">
        <v>15</v>
      </c>
      <c r="L187" s="21" t="s">
        <v>526</v>
      </c>
      <c r="M187" s="21" t="s">
        <v>126</v>
      </c>
      <c r="N187" s="21" t="s">
        <v>50</v>
      </c>
      <c r="O187" s="21" t="s">
        <v>50</v>
      </c>
      <c r="P187" s="21" t="s">
        <v>50</v>
      </c>
      <c r="Q187" s="21" t="s">
        <v>50</v>
      </c>
      <c r="R187" s="21" t="s">
        <v>51</v>
      </c>
      <c r="S187" s="20" t="s">
        <v>52</v>
      </c>
      <c r="T187" s="20" t="s">
        <v>53</v>
      </c>
      <c r="U187" s="21" t="s">
        <v>589</v>
      </c>
      <c r="V187" s="21" t="s">
        <v>583</v>
      </c>
      <c r="W187" s="22" t="s">
        <v>137</v>
      </c>
      <c r="X187" s="20" t="s">
        <v>90</v>
      </c>
      <c r="Y187" s="20" t="s">
        <v>365</v>
      </c>
      <c r="Z187" s="20">
        <v>201</v>
      </c>
      <c r="AA187" s="20">
        <v>229</v>
      </c>
      <c r="AB187" s="26">
        <f t="shared" si="2"/>
        <v>0.87772925764192145</v>
      </c>
      <c r="AC187" s="20" t="s">
        <v>118</v>
      </c>
    </row>
    <row r="188" spans="1:29" s="20" customFormat="1" x14ac:dyDescent="0.25">
      <c r="A188" s="20">
        <v>832</v>
      </c>
      <c r="B188" s="20" t="s">
        <v>225</v>
      </c>
      <c r="C188" s="20" t="s">
        <v>226</v>
      </c>
      <c r="D188" s="20" t="s">
        <v>26</v>
      </c>
      <c r="E188" s="20" t="s">
        <v>227</v>
      </c>
      <c r="F188" s="21">
        <v>2016</v>
      </c>
      <c r="G188" s="21">
        <v>79</v>
      </c>
      <c r="H188" s="21">
        <v>9</v>
      </c>
      <c r="I188" s="21">
        <v>1588</v>
      </c>
      <c r="J188" s="21">
        <v>1598</v>
      </c>
      <c r="K188" s="20" t="s">
        <v>15</v>
      </c>
      <c r="L188" s="21" t="s">
        <v>531</v>
      </c>
      <c r="M188" s="20" t="s">
        <v>495</v>
      </c>
      <c r="N188" s="21" t="s">
        <v>70</v>
      </c>
      <c r="O188" s="21" t="s">
        <v>50</v>
      </c>
      <c r="P188" s="21" t="s">
        <v>50</v>
      </c>
      <c r="Q188" s="21" t="s">
        <v>50</v>
      </c>
      <c r="R188" s="21" t="s">
        <v>51</v>
      </c>
      <c r="S188" s="20" t="s">
        <v>52</v>
      </c>
      <c r="T188" s="21" t="s">
        <v>53</v>
      </c>
      <c r="U188" s="21" t="s">
        <v>589</v>
      </c>
      <c r="V188" s="21" t="s">
        <v>583</v>
      </c>
      <c r="W188" s="21" t="s">
        <v>431</v>
      </c>
      <c r="X188" s="21" t="s">
        <v>90</v>
      </c>
      <c r="Y188" s="21" t="s">
        <v>493</v>
      </c>
      <c r="Z188" s="20">
        <f>269+204+155</f>
        <v>628</v>
      </c>
      <c r="AA188" s="20">
        <f>277+211+156</f>
        <v>644</v>
      </c>
      <c r="AB188" s="26">
        <f t="shared" si="2"/>
        <v>0.97515527950310554</v>
      </c>
      <c r="AC188" s="20" t="s">
        <v>118</v>
      </c>
    </row>
    <row r="189" spans="1:29" s="20" customFormat="1" x14ac:dyDescent="0.25">
      <c r="A189" s="20">
        <v>595</v>
      </c>
      <c r="B189" s="20" t="s">
        <v>198</v>
      </c>
      <c r="C189" s="20" t="s">
        <v>199</v>
      </c>
      <c r="D189" s="20" t="s">
        <v>26</v>
      </c>
      <c r="E189" s="20" t="s">
        <v>180</v>
      </c>
      <c r="F189" s="21">
        <v>2017</v>
      </c>
      <c r="G189" s="21">
        <v>15</v>
      </c>
      <c r="H189" s="21">
        <v>1</v>
      </c>
      <c r="I189" s="21">
        <v>1</v>
      </c>
      <c r="J189" s="21">
        <v>16</v>
      </c>
      <c r="K189" s="20" t="s">
        <v>15</v>
      </c>
      <c r="L189" s="21" t="s">
        <v>525</v>
      </c>
      <c r="M189" s="21" t="s">
        <v>357</v>
      </c>
      <c r="N189" s="21" t="s">
        <v>50</v>
      </c>
      <c r="O189" s="21" t="s">
        <v>50</v>
      </c>
      <c r="P189" s="21" t="s">
        <v>50</v>
      </c>
      <c r="Q189" s="21" t="s">
        <v>50</v>
      </c>
      <c r="R189" s="21" t="s">
        <v>51</v>
      </c>
      <c r="S189" s="20" t="s">
        <v>52</v>
      </c>
      <c r="T189" s="20" t="s">
        <v>53</v>
      </c>
      <c r="U189" s="21" t="s">
        <v>589</v>
      </c>
      <c r="V189" s="21" t="s">
        <v>583</v>
      </c>
      <c r="W189" s="22" t="s">
        <v>137</v>
      </c>
      <c r="X189" s="20" t="s">
        <v>90</v>
      </c>
      <c r="Y189" s="20" t="s">
        <v>364</v>
      </c>
      <c r="Z189" s="20">
        <v>66</v>
      </c>
      <c r="AA189" s="20">
        <v>75</v>
      </c>
      <c r="AB189" s="26">
        <f t="shared" si="2"/>
        <v>0.88</v>
      </c>
      <c r="AC189" s="20" t="s">
        <v>118</v>
      </c>
    </row>
    <row r="190" spans="1:29" s="20" customFormat="1" x14ac:dyDescent="0.25">
      <c r="A190" s="20">
        <v>1080</v>
      </c>
      <c r="B190" s="20" t="s">
        <v>239</v>
      </c>
      <c r="C190" s="20" t="s">
        <v>240</v>
      </c>
      <c r="D190" s="20" t="s">
        <v>26</v>
      </c>
      <c r="E190" s="20" t="s">
        <v>202</v>
      </c>
      <c r="F190" s="21">
        <v>2017</v>
      </c>
      <c r="G190" s="21">
        <v>64</v>
      </c>
      <c r="H190" s="21" t="s">
        <v>184</v>
      </c>
      <c r="I190" s="21">
        <v>11</v>
      </c>
      <c r="J190" s="21">
        <v>20</v>
      </c>
      <c r="K190" s="20" t="s">
        <v>15</v>
      </c>
      <c r="L190" s="21" t="s">
        <v>536</v>
      </c>
      <c r="M190" s="21" t="s">
        <v>50</v>
      </c>
      <c r="N190" s="21" t="s">
        <v>50</v>
      </c>
      <c r="O190" s="21" t="s">
        <v>50</v>
      </c>
      <c r="P190" s="21" t="s">
        <v>50</v>
      </c>
      <c r="Q190" s="21" t="s">
        <v>50</v>
      </c>
      <c r="R190" s="21" t="s">
        <v>50</v>
      </c>
      <c r="S190" s="21" t="s">
        <v>52</v>
      </c>
      <c r="T190" s="21" t="s">
        <v>53</v>
      </c>
      <c r="U190" s="21" t="s">
        <v>589</v>
      </c>
      <c r="V190" s="21" t="s">
        <v>583</v>
      </c>
      <c r="W190" s="21" t="s">
        <v>458</v>
      </c>
      <c r="X190" s="21" t="s">
        <v>443</v>
      </c>
      <c r="Y190" s="20" t="s">
        <v>394</v>
      </c>
      <c r="Z190" s="20">
        <v>262</v>
      </c>
      <c r="AA190" s="20">
        <v>316</v>
      </c>
      <c r="AB190" s="26">
        <f t="shared" si="2"/>
        <v>0.82911392405063289</v>
      </c>
      <c r="AC190" s="20" t="s">
        <v>84</v>
      </c>
    </row>
  </sheetData>
  <autoFilter ref="A1:AC190"/>
  <sortState ref="A2:AQ274">
    <sortCondition ref="U2:U274"/>
    <sortCondition ref="F2:F274"/>
  </sortState>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3"/>
  <sheetViews>
    <sheetView zoomScale="85" zoomScaleNormal="85" workbookViewId="0">
      <pane xSplit="2" ySplit="1" topLeftCell="C2" activePane="bottomRight" state="frozen"/>
      <selection pane="topRight" activeCell="C1" sqref="C1"/>
      <selection pane="bottomLeft" activeCell="A2" sqref="A2"/>
      <selection pane="bottomRight" activeCell="AA17" sqref="AA17"/>
    </sheetView>
  </sheetViews>
  <sheetFormatPr defaultRowHeight="15" x14ac:dyDescent="0.25"/>
  <cols>
    <col min="1" max="1" width="6.42578125" customWidth="1"/>
    <col min="2" max="2" width="15.5703125" customWidth="1"/>
    <col min="6" max="8" width="9.140625" style="8"/>
    <col min="9" max="9" width="10" style="8" customWidth="1"/>
    <col min="10" max="10" width="9.140625" style="8"/>
    <col min="11" max="11" width="4.5703125" customWidth="1"/>
    <col min="12" max="13" width="12.28515625" customWidth="1"/>
    <col min="14" max="14" width="12.7109375" customWidth="1"/>
    <col min="15" max="15" width="13.5703125" customWidth="1"/>
    <col min="16" max="16" width="13.140625" customWidth="1"/>
    <col min="17" max="17" width="9.85546875" customWidth="1"/>
    <col min="18" max="19" width="11.42578125" customWidth="1"/>
    <col min="20" max="20" width="15.5703125" customWidth="1"/>
    <col min="21" max="21" width="48.140625" customWidth="1"/>
    <col min="22" max="22" width="47" customWidth="1"/>
    <col min="23" max="23" width="11.7109375" customWidth="1"/>
    <col min="24" max="24" width="12.140625" customWidth="1"/>
    <col min="28" max="28" width="10.28515625" customWidth="1"/>
  </cols>
  <sheetData>
    <row r="1" spans="1:28" s="1" customFormat="1" x14ac:dyDescent="0.25">
      <c r="A1" s="4" t="s">
        <v>0</v>
      </c>
      <c r="B1" s="4" t="s">
        <v>2</v>
      </c>
      <c r="C1" s="4" t="s">
        <v>3</v>
      </c>
      <c r="D1" s="4" t="s">
        <v>4</v>
      </c>
      <c r="E1" s="4" t="s">
        <v>5</v>
      </c>
      <c r="F1" s="5" t="s">
        <v>6</v>
      </c>
      <c r="G1" s="5" t="s">
        <v>7</v>
      </c>
      <c r="H1" s="5" t="s">
        <v>8</v>
      </c>
      <c r="I1" s="5" t="s">
        <v>9</v>
      </c>
      <c r="J1" s="5" t="s">
        <v>10</v>
      </c>
      <c r="K1" s="4" t="s">
        <v>11</v>
      </c>
      <c r="L1" s="17" t="s">
        <v>504</v>
      </c>
      <c r="M1" s="2" t="s">
        <v>1</v>
      </c>
      <c r="N1" s="2" t="s">
        <v>30</v>
      </c>
      <c r="O1" s="2" t="s">
        <v>31</v>
      </c>
      <c r="P1" s="2" t="s">
        <v>32</v>
      </c>
      <c r="Q1" s="2" t="s">
        <v>33</v>
      </c>
      <c r="R1" s="2" t="s">
        <v>34</v>
      </c>
      <c r="S1" s="10" t="s">
        <v>47</v>
      </c>
      <c r="T1" s="10" t="s">
        <v>35</v>
      </c>
      <c r="U1" s="10" t="s">
        <v>503</v>
      </c>
      <c r="V1" s="1" t="s">
        <v>36</v>
      </c>
      <c r="W1" s="1" t="s">
        <v>37</v>
      </c>
      <c r="X1" s="1" t="s">
        <v>38</v>
      </c>
      <c r="Y1" s="1" t="s">
        <v>39</v>
      </c>
      <c r="Z1" s="1" t="s">
        <v>40</v>
      </c>
      <c r="AA1" s="1" t="s">
        <v>544</v>
      </c>
      <c r="AB1" s="1" t="s">
        <v>41</v>
      </c>
    </row>
    <row r="2" spans="1:28" x14ac:dyDescent="0.25">
      <c r="A2" s="6">
        <v>157</v>
      </c>
      <c r="B2" s="6" t="s">
        <v>178</v>
      </c>
      <c r="C2" s="6" t="s">
        <v>179</v>
      </c>
      <c r="D2" s="6" t="s">
        <v>26</v>
      </c>
      <c r="E2" s="6" t="s">
        <v>180</v>
      </c>
      <c r="F2" s="7">
        <v>2009</v>
      </c>
      <c r="G2" s="7">
        <v>7</v>
      </c>
      <c r="H2" s="7">
        <v>4</v>
      </c>
      <c r="I2" s="7">
        <v>259</v>
      </c>
      <c r="J2" s="7">
        <v>284</v>
      </c>
      <c r="K2" s="6" t="s">
        <v>15</v>
      </c>
      <c r="L2" s="8" t="s">
        <v>506</v>
      </c>
      <c r="M2" s="7" t="s">
        <v>295</v>
      </c>
      <c r="N2" s="7" t="s">
        <v>70</v>
      </c>
      <c r="O2" t="s">
        <v>50</v>
      </c>
      <c r="P2" t="s">
        <v>50</v>
      </c>
      <c r="Q2" t="s">
        <v>50</v>
      </c>
      <c r="R2" s="8" t="s">
        <v>51</v>
      </c>
      <c r="S2" s="8" t="s">
        <v>52</v>
      </c>
      <c r="T2" s="8" t="s">
        <v>57</v>
      </c>
      <c r="U2" s="8" t="s">
        <v>562</v>
      </c>
      <c r="V2" s="8" t="s">
        <v>298</v>
      </c>
      <c r="W2" s="8" t="s">
        <v>89</v>
      </c>
      <c r="X2" s="8" t="s">
        <v>294</v>
      </c>
      <c r="Y2">
        <v>12</v>
      </c>
      <c r="Z2">
        <v>57</v>
      </c>
      <c r="AA2" s="19">
        <f>Y2/Z2</f>
        <v>0.21052631578947367</v>
      </c>
      <c r="AB2" t="s">
        <v>84</v>
      </c>
    </row>
    <row r="3" spans="1:28" x14ac:dyDescent="0.25">
      <c r="A3" s="6">
        <v>597</v>
      </c>
      <c r="B3" s="6" t="s">
        <v>122</v>
      </c>
      <c r="C3" s="6" t="s">
        <v>123</v>
      </c>
      <c r="D3" s="6" t="s">
        <v>26</v>
      </c>
      <c r="E3" s="6" t="s">
        <v>124</v>
      </c>
      <c r="F3" s="7">
        <v>2015</v>
      </c>
      <c r="G3" s="7">
        <v>18</v>
      </c>
      <c r="H3" s="7">
        <v>5</v>
      </c>
      <c r="I3" s="7">
        <v>454</v>
      </c>
      <c r="J3" s="7">
        <v>469</v>
      </c>
      <c r="K3" t="s">
        <v>15</v>
      </c>
      <c r="L3" s="8" t="s">
        <v>527</v>
      </c>
      <c r="M3" t="s">
        <v>126</v>
      </c>
      <c r="N3" t="s">
        <v>125</v>
      </c>
      <c r="O3" t="s">
        <v>50</v>
      </c>
      <c r="P3" t="s">
        <v>50</v>
      </c>
      <c r="Q3" t="s">
        <v>50</v>
      </c>
      <c r="R3" t="s">
        <v>51</v>
      </c>
      <c r="S3" t="s">
        <v>52</v>
      </c>
      <c r="T3" t="s">
        <v>57</v>
      </c>
      <c r="U3" s="8" t="s">
        <v>562</v>
      </c>
      <c r="V3" s="11" t="s">
        <v>130</v>
      </c>
      <c r="W3" s="8" t="s">
        <v>89</v>
      </c>
      <c r="X3" t="s">
        <v>127</v>
      </c>
      <c r="Y3">
        <v>52</v>
      </c>
      <c r="Z3">
        <v>110</v>
      </c>
      <c r="AA3" s="19">
        <f t="shared" ref="AA3:AA63" si="0">Y3/Z3</f>
        <v>0.47272727272727272</v>
      </c>
      <c r="AB3" t="s">
        <v>84</v>
      </c>
    </row>
    <row r="4" spans="1:28" x14ac:dyDescent="0.25">
      <c r="A4" s="6">
        <v>596</v>
      </c>
      <c r="B4" s="6" t="s">
        <v>200</v>
      </c>
      <c r="C4" s="6" t="s">
        <v>201</v>
      </c>
      <c r="D4" s="6" t="s">
        <v>26</v>
      </c>
      <c r="E4" s="6" t="s">
        <v>202</v>
      </c>
      <c r="F4" s="7">
        <v>2016</v>
      </c>
      <c r="G4" s="7">
        <v>57</v>
      </c>
      <c r="H4" s="7" t="s">
        <v>184</v>
      </c>
      <c r="I4" s="7">
        <v>52</v>
      </c>
      <c r="J4" s="7">
        <v>59</v>
      </c>
      <c r="K4" s="6" t="s">
        <v>15</v>
      </c>
      <c r="L4" s="8" t="s">
        <v>526</v>
      </c>
      <c r="M4" s="8" t="s">
        <v>126</v>
      </c>
      <c r="N4" s="7" t="s">
        <v>50</v>
      </c>
      <c r="O4" s="7" t="s">
        <v>50</v>
      </c>
      <c r="P4" s="7" t="s">
        <v>50</v>
      </c>
      <c r="Q4" s="7" t="s">
        <v>50</v>
      </c>
      <c r="R4" s="8" t="s">
        <v>51</v>
      </c>
      <c r="S4" t="s">
        <v>52</v>
      </c>
      <c r="T4" s="8" t="s">
        <v>57</v>
      </c>
      <c r="U4" s="8" t="s">
        <v>562</v>
      </c>
      <c r="V4" s="11" t="s">
        <v>368</v>
      </c>
      <c r="W4" s="8" t="s">
        <v>89</v>
      </c>
      <c r="X4" t="s">
        <v>365</v>
      </c>
      <c r="Y4">
        <v>71</v>
      </c>
      <c r="Z4">
        <v>229</v>
      </c>
      <c r="AA4" s="19">
        <f t="shared" si="0"/>
        <v>0.31004366812227074</v>
      </c>
      <c r="AB4" t="s">
        <v>84</v>
      </c>
    </row>
    <row r="5" spans="1:28" x14ac:dyDescent="0.25">
      <c r="A5" s="6">
        <v>595</v>
      </c>
      <c r="B5" s="6" t="s">
        <v>198</v>
      </c>
      <c r="C5" s="6" t="s">
        <v>199</v>
      </c>
      <c r="D5" s="6" t="s">
        <v>26</v>
      </c>
      <c r="E5" s="6" t="s">
        <v>180</v>
      </c>
      <c r="F5" s="7">
        <v>2017</v>
      </c>
      <c r="G5" s="7">
        <v>15</v>
      </c>
      <c r="H5" s="7">
        <v>1</v>
      </c>
      <c r="I5" s="7">
        <v>1</v>
      </c>
      <c r="J5" s="7">
        <v>16</v>
      </c>
      <c r="K5" s="6" t="s">
        <v>15</v>
      </c>
      <c r="L5" s="8" t="s">
        <v>525</v>
      </c>
      <c r="M5" s="7" t="s">
        <v>357</v>
      </c>
      <c r="N5" s="7" t="s">
        <v>50</v>
      </c>
      <c r="O5" s="7" t="s">
        <v>50</v>
      </c>
      <c r="P5" s="7" t="s">
        <v>50</v>
      </c>
      <c r="Q5" s="7" t="s">
        <v>50</v>
      </c>
      <c r="R5" s="8" t="s">
        <v>51</v>
      </c>
      <c r="S5" t="s">
        <v>52</v>
      </c>
      <c r="T5" t="s">
        <v>57</v>
      </c>
      <c r="U5" s="8" t="s">
        <v>562</v>
      </c>
      <c r="V5" s="11" t="s">
        <v>360</v>
      </c>
      <c r="W5" t="s">
        <v>89</v>
      </c>
      <c r="X5" t="s">
        <v>364</v>
      </c>
      <c r="Y5">
        <v>26</v>
      </c>
      <c r="Z5">
        <v>75</v>
      </c>
      <c r="AA5" s="19">
        <f t="shared" si="0"/>
        <v>0.34666666666666668</v>
      </c>
      <c r="AB5" t="s">
        <v>84</v>
      </c>
    </row>
    <row r="6" spans="1:28" s="20" customFormat="1" x14ac:dyDescent="0.25">
      <c r="A6" s="20">
        <v>606</v>
      </c>
      <c r="B6" s="20" t="s">
        <v>203</v>
      </c>
      <c r="C6" s="20" t="s">
        <v>204</v>
      </c>
      <c r="D6" s="20" t="s">
        <v>26</v>
      </c>
      <c r="E6" s="20" t="s">
        <v>205</v>
      </c>
      <c r="F6" s="21">
        <v>2005</v>
      </c>
      <c r="G6" s="21">
        <v>15</v>
      </c>
      <c r="H6" s="21">
        <v>2</v>
      </c>
      <c r="I6" s="21">
        <v>79</v>
      </c>
      <c r="J6" s="21">
        <v>87</v>
      </c>
      <c r="K6" s="20" t="s">
        <v>15</v>
      </c>
      <c r="L6" s="21" t="s">
        <v>528</v>
      </c>
      <c r="M6" s="21" t="s">
        <v>51</v>
      </c>
      <c r="N6" s="21" t="s">
        <v>372</v>
      </c>
      <c r="O6" s="21" t="s">
        <v>50</v>
      </c>
      <c r="P6" s="21" t="s">
        <v>50</v>
      </c>
      <c r="Q6" s="21" t="s">
        <v>50</v>
      </c>
      <c r="R6" s="21" t="s">
        <v>51</v>
      </c>
      <c r="S6" s="20" t="s">
        <v>52</v>
      </c>
      <c r="T6" s="20" t="s">
        <v>57</v>
      </c>
      <c r="U6" s="21" t="s">
        <v>565</v>
      </c>
      <c r="V6" s="22" t="s">
        <v>370</v>
      </c>
      <c r="W6" s="21" t="s">
        <v>355</v>
      </c>
      <c r="X6" s="21" t="s">
        <v>356</v>
      </c>
      <c r="Y6" s="20">
        <v>12</v>
      </c>
      <c r="Z6" s="20">
        <v>73</v>
      </c>
      <c r="AA6" s="26">
        <f t="shared" si="0"/>
        <v>0.16438356164383561</v>
      </c>
      <c r="AB6" s="20" t="s">
        <v>84</v>
      </c>
    </row>
    <row r="7" spans="1:28" s="20" customFormat="1" x14ac:dyDescent="0.25">
      <c r="A7" s="20">
        <v>1151</v>
      </c>
      <c r="B7" s="20" t="s">
        <v>257</v>
      </c>
      <c r="C7" s="20" t="s">
        <v>258</v>
      </c>
      <c r="D7" s="20" t="s">
        <v>259</v>
      </c>
      <c r="E7" s="20" t="s">
        <v>260</v>
      </c>
      <c r="F7" s="21">
        <v>2007</v>
      </c>
      <c r="G7" s="21"/>
      <c r="H7" s="21"/>
      <c r="I7" s="21"/>
      <c r="J7" s="21"/>
      <c r="K7" s="20" t="s">
        <v>15</v>
      </c>
      <c r="L7" s="21" t="s">
        <v>540</v>
      </c>
      <c r="M7" s="21" t="s">
        <v>70</v>
      </c>
      <c r="N7" s="21" t="s">
        <v>70</v>
      </c>
      <c r="O7" s="21" t="s">
        <v>50</v>
      </c>
      <c r="P7" s="21" t="s">
        <v>50</v>
      </c>
      <c r="Q7" s="21" t="s">
        <v>50</v>
      </c>
      <c r="R7" s="21" t="s">
        <v>51</v>
      </c>
      <c r="S7" s="21" t="s">
        <v>52</v>
      </c>
      <c r="T7" s="20" t="s">
        <v>57</v>
      </c>
      <c r="U7" s="21" t="s">
        <v>565</v>
      </c>
      <c r="V7" s="20" t="s">
        <v>483</v>
      </c>
      <c r="W7" s="21" t="s">
        <v>355</v>
      </c>
      <c r="X7" s="21" t="s">
        <v>356</v>
      </c>
      <c r="Y7" s="25">
        <v>10</v>
      </c>
      <c r="Z7" s="20">
        <v>82</v>
      </c>
      <c r="AA7" s="26">
        <f t="shared" si="0"/>
        <v>0.12195121951219512</v>
      </c>
      <c r="AB7" s="20" t="s">
        <v>84</v>
      </c>
    </row>
    <row r="8" spans="1:28" s="20" customFormat="1" x14ac:dyDescent="0.25">
      <c r="A8" s="20">
        <v>213</v>
      </c>
      <c r="B8" s="20" t="s">
        <v>28</v>
      </c>
      <c r="C8" s="20" t="s">
        <v>29</v>
      </c>
      <c r="D8" s="20" t="s">
        <v>26</v>
      </c>
      <c r="E8" s="20" t="s">
        <v>14</v>
      </c>
      <c r="F8" s="21">
        <v>2013</v>
      </c>
      <c r="G8" s="21">
        <v>31</v>
      </c>
      <c r="H8" s="21">
        <v>2</v>
      </c>
      <c r="I8" s="21">
        <v>474</v>
      </c>
      <c r="J8" s="21">
        <v>481</v>
      </c>
      <c r="K8" s="20" t="s">
        <v>15</v>
      </c>
      <c r="L8" s="20" t="s">
        <v>520</v>
      </c>
      <c r="M8" s="21" t="s">
        <v>92</v>
      </c>
      <c r="N8" s="20" t="s">
        <v>91</v>
      </c>
      <c r="O8" s="20" t="s">
        <v>50</v>
      </c>
      <c r="P8" s="20" t="s">
        <v>50</v>
      </c>
      <c r="Q8" s="20" t="s">
        <v>50</v>
      </c>
      <c r="R8" s="20" t="s">
        <v>51</v>
      </c>
      <c r="S8" s="20" t="s">
        <v>52</v>
      </c>
      <c r="T8" s="20" t="s">
        <v>57</v>
      </c>
      <c r="U8" s="21" t="s">
        <v>565</v>
      </c>
      <c r="V8" s="22" t="s">
        <v>107</v>
      </c>
      <c r="W8" s="20" t="s">
        <v>89</v>
      </c>
      <c r="X8" s="20" t="s">
        <v>121</v>
      </c>
      <c r="Y8" s="20">
        <v>126</v>
      </c>
      <c r="Z8" s="20">
        <v>146</v>
      </c>
      <c r="AA8" s="26">
        <f t="shared" si="0"/>
        <v>0.86301369863013699</v>
      </c>
      <c r="AB8" s="20" t="s">
        <v>99</v>
      </c>
    </row>
    <row r="9" spans="1:28" s="20" customFormat="1" x14ac:dyDescent="0.25">
      <c r="A9" s="20">
        <v>923</v>
      </c>
      <c r="B9" s="20" t="s">
        <v>233</v>
      </c>
      <c r="C9" s="20" t="s">
        <v>234</v>
      </c>
      <c r="D9" s="20" t="s">
        <v>26</v>
      </c>
      <c r="E9" s="20" t="s">
        <v>235</v>
      </c>
      <c r="F9" s="21">
        <v>2015</v>
      </c>
      <c r="G9" s="21">
        <v>129</v>
      </c>
      <c r="H9" s="21">
        <v>9</v>
      </c>
      <c r="I9" s="21">
        <v>1278</v>
      </c>
      <c r="J9" s="21">
        <v>1284</v>
      </c>
      <c r="K9" s="20" t="s">
        <v>15</v>
      </c>
      <c r="L9" s="24" t="s">
        <v>534</v>
      </c>
      <c r="M9" s="21" t="s">
        <v>404</v>
      </c>
      <c r="N9" s="21" t="s">
        <v>50</v>
      </c>
      <c r="O9" s="21" t="s">
        <v>50</v>
      </c>
      <c r="P9" s="21" t="s">
        <v>50</v>
      </c>
      <c r="Q9" s="21" t="s">
        <v>50</v>
      </c>
      <c r="R9" s="21" t="s">
        <v>51</v>
      </c>
      <c r="S9" s="21" t="s">
        <v>52</v>
      </c>
      <c r="T9" s="21" t="s">
        <v>57</v>
      </c>
      <c r="U9" s="21" t="s">
        <v>565</v>
      </c>
      <c r="V9" s="21" t="s">
        <v>424</v>
      </c>
      <c r="W9" s="21" t="s">
        <v>89</v>
      </c>
      <c r="X9" s="21" t="s">
        <v>405</v>
      </c>
      <c r="Y9" s="20">
        <v>57</v>
      </c>
      <c r="Z9" s="20">
        <v>117</v>
      </c>
      <c r="AA9" s="26">
        <f t="shared" si="0"/>
        <v>0.48717948717948717</v>
      </c>
      <c r="AB9" s="20" t="s">
        <v>84</v>
      </c>
    </row>
    <row r="10" spans="1:28" s="20" customFormat="1" x14ac:dyDescent="0.25">
      <c r="A10" s="20">
        <v>291</v>
      </c>
      <c r="B10" s="20" t="s">
        <v>188</v>
      </c>
      <c r="C10" s="20" t="s">
        <v>189</v>
      </c>
      <c r="D10" s="20" t="s">
        <v>26</v>
      </c>
      <c r="E10" s="20" t="s">
        <v>14</v>
      </c>
      <c r="F10" s="21">
        <v>2016</v>
      </c>
      <c r="G10" s="21">
        <v>63</v>
      </c>
      <c r="H10" s="21" t="s">
        <v>184</v>
      </c>
      <c r="I10" s="21">
        <v>147</v>
      </c>
      <c r="J10" s="21">
        <v>157</v>
      </c>
      <c r="K10" s="20" t="s">
        <v>15</v>
      </c>
      <c r="L10" s="20" t="s">
        <v>523</v>
      </c>
      <c r="M10" s="21" t="s">
        <v>50</v>
      </c>
      <c r="N10" s="21" t="s">
        <v>70</v>
      </c>
      <c r="O10" s="20" t="s">
        <v>50</v>
      </c>
      <c r="P10" s="20" t="s">
        <v>50</v>
      </c>
      <c r="Q10" s="20" t="s">
        <v>50</v>
      </c>
      <c r="R10" s="20" t="s">
        <v>50</v>
      </c>
      <c r="S10" s="21" t="s">
        <v>52</v>
      </c>
      <c r="T10" s="20" t="s">
        <v>57</v>
      </c>
      <c r="U10" s="21" t="s">
        <v>565</v>
      </c>
      <c r="V10" s="22" t="s">
        <v>341</v>
      </c>
      <c r="W10" s="21" t="s">
        <v>89</v>
      </c>
      <c r="X10" s="21" t="s">
        <v>338</v>
      </c>
      <c r="Y10" s="25">
        <f>11.3%*Z10</f>
        <v>21.018000000000001</v>
      </c>
      <c r="Z10" s="20">
        <v>186</v>
      </c>
      <c r="AA10" s="26">
        <f t="shared" si="0"/>
        <v>0.113</v>
      </c>
      <c r="AB10" s="20" t="s">
        <v>339</v>
      </c>
    </row>
    <row r="11" spans="1:28" x14ac:dyDescent="0.25">
      <c r="A11" s="6">
        <v>606</v>
      </c>
      <c r="B11" s="6" t="s">
        <v>203</v>
      </c>
      <c r="C11" s="6" t="s">
        <v>204</v>
      </c>
      <c r="D11" s="6" t="s">
        <v>26</v>
      </c>
      <c r="E11" s="6" t="s">
        <v>205</v>
      </c>
      <c r="F11" s="7">
        <v>2005</v>
      </c>
      <c r="G11" s="7">
        <v>15</v>
      </c>
      <c r="H11" s="7">
        <v>2</v>
      </c>
      <c r="I11" s="7">
        <v>79</v>
      </c>
      <c r="J11" s="7">
        <v>87</v>
      </c>
      <c r="K11" s="6" t="s">
        <v>15</v>
      </c>
      <c r="L11" s="7" t="s">
        <v>528</v>
      </c>
      <c r="M11" s="8" t="s">
        <v>51</v>
      </c>
      <c r="N11" s="8" t="s">
        <v>372</v>
      </c>
      <c r="O11" t="s">
        <v>50</v>
      </c>
      <c r="P11" s="7" t="s">
        <v>50</v>
      </c>
      <c r="Q11" s="7" t="s">
        <v>50</v>
      </c>
      <c r="R11" s="8" t="s">
        <v>51</v>
      </c>
      <c r="S11" t="s">
        <v>52</v>
      </c>
      <c r="T11" t="s">
        <v>57</v>
      </c>
      <c r="U11" t="s">
        <v>560</v>
      </c>
      <c r="V11" s="11" t="s">
        <v>371</v>
      </c>
      <c r="W11" s="8" t="s">
        <v>355</v>
      </c>
      <c r="X11" s="8" t="s">
        <v>356</v>
      </c>
      <c r="Y11">
        <v>2</v>
      </c>
      <c r="Z11">
        <v>73</v>
      </c>
      <c r="AA11" s="19">
        <f t="shared" si="0"/>
        <v>2.7397260273972601E-2</v>
      </c>
      <c r="AB11" t="s">
        <v>84</v>
      </c>
    </row>
    <row r="12" spans="1:28" x14ac:dyDescent="0.25">
      <c r="A12" s="6">
        <v>1151</v>
      </c>
      <c r="B12" s="6" t="s">
        <v>257</v>
      </c>
      <c r="C12" s="6" t="s">
        <v>258</v>
      </c>
      <c r="D12" s="6" t="s">
        <v>259</v>
      </c>
      <c r="E12" s="6" t="s">
        <v>260</v>
      </c>
      <c r="F12" s="7">
        <v>2007</v>
      </c>
      <c r="G12" s="7"/>
      <c r="H12" s="7"/>
      <c r="I12" s="7"/>
      <c r="J12" s="7"/>
      <c r="K12" s="6" t="s">
        <v>15</v>
      </c>
      <c r="L12" s="7" t="s">
        <v>540</v>
      </c>
      <c r="M12" s="7" t="s">
        <v>70</v>
      </c>
      <c r="N12" s="7" t="s">
        <v>70</v>
      </c>
      <c r="O12" s="7" t="s">
        <v>50</v>
      </c>
      <c r="P12" s="7" t="s">
        <v>50</v>
      </c>
      <c r="Q12" s="7" t="s">
        <v>50</v>
      </c>
      <c r="R12" s="7" t="s">
        <v>51</v>
      </c>
      <c r="S12" s="7" t="s">
        <v>52</v>
      </c>
      <c r="T12" t="s">
        <v>57</v>
      </c>
      <c r="U12" t="s">
        <v>560</v>
      </c>
      <c r="V12" s="11" t="s">
        <v>481</v>
      </c>
      <c r="W12" s="8" t="s">
        <v>355</v>
      </c>
      <c r="X12" s="8" t="s">
        <v>356</v>
      </c>
      <c r="Y12">
        <v>6</v>
      </c>
      <c r="Z12">
        <v>86</v>
      </c>
      <c r="AA12" s="19">
        <f t="shared" si="0"/>
        <v>6.9767441860465115E-2</v>
      </c>
      <c r="AB12" t="s">
        <v>84</v>
      </c>
    </row>
    <row r="13" spans="1:28" x14ac:dyDescent="0.25">
      <c r="A13" s="6">
        <v>157</v>
      </c>
      <c r="B13" s="6" t="s">
        <v>178</v>
      </c>
      <c r="C13" s="6" t="s">
        <v>179</v>
      </c>
      <c r="D13" s="6" t="s">
        <v>26</v>
      </c>
      <c r="E13" s="6" t="s">
        <v>180</v>
      </c>
      <c r="F13" s="7">
        <v>2009</v>
      </c>
      <c r="G13" s="7">
        <v>7</v>
      </c>
      <c r="H13" s="7">
        <v>4</v>
      </c>
      <c r="I13" s="7">
        <v>259</v>
      </c>
      <c r="J13" s="7">
        <v>284</v>
      </c>
      <c r="K13" s="6" t="s">
        <v>15</v>
      </c>
      <c r="L13" s="8" t="s">
        <v>506</v>
      </c>
      <c r="M13" s="7" t="s">
        <v>295</v>
      </c>
      <c r="N13" s="7" t="s">
        <v>70</v>
      </c>
      <c r="O13" t="s">
        <v>50</v>
      </c>
      <c r="P13" t="s">
        <v>50</v>
      </c>
      <c r="Q13" t="s">
        <v>50</v>
      </c>
      <c r="R13" s="8" t="s">
        <v>51</v>
      </c>
      <c r="S13" s="8" t="s">
        <v>52</v>
      </c>
      <c r="T13" s="8" t="s">
        <v>57</v>
      </c>
      <c r="U13" t="s">
        <v>560</v>
      </c>
      <c r="V13" s="8" t="s">
        <v>293</v>
      </c>
      <c r="W13" s="8" t="s">
        <v>89</v>
      </c>
      <c r="X13" s="8" t="s">
        <v>294</v>
      </c>
      <c r="Y13">
        <v>15</v>
      </c>
      <c r="Z13">
        <v>57</v>
      </c>
      <c r="AA13" s="19">
        <f t="shared" si="0"/>
        <v>0.26315789473684209</v>
      </c>
      <c r="AB13" t="s">
        <v>84</v>
      </c>
    </row>
    <row r="14" spans="1:28" x14ac:dyDescent="0.25">
      <c r="A14" s="6">
        <v>775</v>
      </c>
      <c r="B14" s="6" t="s">
        <v>216</v>
      </c>
      <c r="C14" s="6" t="s">
        <v>217</v>
      </c>
      <c r="D14" s="6" t="s">
        <v>26</v>
      </c>
      <c r="E14" s="6" t="s">
        <v>218</v>
      </c>
      <c r="F14" s="7">
        <v>2012</v>
      </c>
      <c r="G14" s="7">
        <v>55</v>
      </c>
      <c r="H14" s="7">
        <v>6</v>
      </c>
      <c r="I14" s="7">
        <v>740</v>
      </c>
      <c r="J14" s="7">
        <v>744</v>
      </c>
      <c r="K14" s="6" t="s">
        <v>15</v>
      </c>
      <c r="L14" s="7" t="s">
        <v>508</v>
      </c>
      <c r="M14" s="8" t="s">
        <v>386</v>
      </c>
      <c r="N14" s="6" t="s">
        <v>494</v>
      </c>
      <c r="O14" s="7" t="s">
        <v>50</v>
      </c>
      <c r="P14" s="8" t="s">
        <v>51</v>
      </c>
      <c r="Q14" s="7" t="s">
        <v>50</v>
      </c>
      <c r="R14" s="8" t="s">
        <v>349</v>
      </c>
      <c r="S14" s="7" t="s">
        <v>52</v>
      </c>
      <c r="T14" t="s">
        <v>57</v>
      </c>
      <c r="U14" t="s">
        <v>560</v>
      </c>
      <c r="V14" s="8" t="s">
        <v>388</v>
      </c>
      <c r="W14" s="8" t="s">
        <v>89</v>
      </c>
      <c r="X14" s="8" t="s">
        <v>387</v>
      </c>
      <c r="Y14">
        <v>5</v>
      </c>
      <c r="Z14">
        <v>6</v>
      </c>
      <c r="AA14" s="19">
        <f t="shared" si="0"/>
        <v>0.83333333333333337</v>
      </c>
      <c r="AB14" t="s">
        <v>84</v>
      </c>
    </row>
    <row r="15" spans="1:28" x14ac:dyDescent="0.25">
      <c r="A15" s="6">
        <v>1146</v>
      </c>
      <c r="B15" s="6" t="s">
        <v>241</v>
      </c>
      <c r="C15" s="6" t="s">
        <v>242</v>
      </c>
      <c r="D15" s="6" t="s">
        <v>26</v>
      </c>
      <c r="E15" s="6" t="s">
        <v>227</v>
      </c>
      <c r="F15" s="7">
        <v>2012</v>
      </c>
      <c r="G15" s="7">
        <v>75</v>
      </c>
      <c r="H15" s="7" t="s">
        <v>243</v>
      </c>
      <c r="I15" s="7" t="s">
        <v>244</v>
      </c>
      <c r="J15" s="6" t="s">
        <v>245</v>
      </c>
      <c r="K15" s="6" t="s">
        <v>15</v>
      </c>
      <c r="L15" s="7" t="s">
        <v>541</v>
      </c>
      <c r="M15" s="7" t="s">
        <v>469</v>
      </c>
      <c r="N15" s="7" t="s">
        <v>50</v>
      </c>
      <c r="O15" s="7" t="s">
        <v>70</v>
      </c>
      <c r="P15" s="7" t="s">
        <v>70</v>
      </c>
      <c r="Q15" s="7" t="s">
        <v>50</v>
      </c>
      <c r="R15" s="7" t="s">
        <v>471</v>
      </c>
      <c r="S15" s="7" t="s">
        <v>52</v>
      </c>
      <c r="T15" s="7" t="s">
        <v>57</v>
      </c>
      <c r="U15" t="s">
        <v>560</v>
      </c>
      <c r="V15" s="8" t="s">
        <v>470</v>
      </c>
      <c r="W15" s="8" t="s">
        <v>89</v>
      </c>
      <c r="X15" s="8" t="s">
        <v>468</v>
      </c>
      <c r="Y15">
        <v>43</v>
      </c>
      <c r="Z15">
        <v>220</v>
      </c>
      <c r="AA15" s="19">
        <f t="shared" si="0"/>
        <v>0.19545454545454546</v>
      </c>
      <c r="AB15" t="s">
        <v>84</v>
      </c>
    </row>
    <row r="16" spans="1:28" x14ac:dyDescent="0.25">
      <c r="A16" s="6">
        <v>597</v>
      </c>
      <c r="B16" s="6" t="s">
        <v>122</v>
      </c>
      <c r="C16" s="6" t="s">
        <v>123</v>
      </c>
      <c r="D16" s="6" t="s">
        <v>26</v>
      </c>
      <c r="E16" s="6" t="s">
        <v>124</v>
      </c>
      <c r="F16" s="7">
        <v>2015</v>
      </c>
      <c r="G16" s="7">
        <v>18</v>
      </c>
      <c r="H16" s="7">
        <v>5</v>
      </c>
      <c r="I16" s="7">
        <v>454</v>
      </c>
      <c r="J16" s="7">
        <v>469</v>
      </c>
      <c r="K16" t="s">
        <v>15</v>
      </c>
      <c r="L16" s="8" t="s">
        <v>527</v>
      </c>
      <c r="M16" t="s">
        <v>126</v>
      </c>
      <c r="N16" t="s">
        <v>125</v>
      </c>
      <c r="O16" t="s">
        <v>50</v>
      </c>
      <c r="P16" t="s">
        <v>50</v>
      </c>
      <c r="Q16" t="s">
        <v>50</v>
      </c>
      <c r="R16" t="s">
        <v>51</v>
      </c>
      <c r="S16" t="s">
        <v>52</v>
      </c>
      <c r="T16" t="s">
        <v>57</v>
      </c>
      <c r="U16" t="s">
        <v>560</v>
      </c>
      <c r="V16" s="11" t="s">
        <v>128</v>
      </c>
      <c r="W16" s="8" t="s">
        <v>89</v>
      </c>
      <c r="X16" t="s">
        <v>127</v>
      </c>
      <c r="Y16">
        <v>69</v>
      </c>
      <c r="Z16">
        <v>110</v>
      </c>
      <c r="AA16" s="19">
        <f t="shared" si="0"/>
        <v>0.62727272727272732</v>
      </c>
      <c r="AB16" t="s">
        <v>84</v>
      </c>
    </row>
    <row r="17" spans="1:28" x14ac:dyDescent="0.25">
      <c r="A17" s="6">
        <v>923</v>
      </c>
      <c r="B17" s="6" t="s">
        <v>233</v>
      </c>
      <c r="C17" s="6" t="s">
        <v>234</v>
      </c>
      <c r="D17" s="6" t="s">
        <v>26</v>
      </c>
      <c r="E17" s="6" t="s">
        <v>235</v>
      </c>
      <c r="F17" s="7">
        <v>2015</v>
      </c>
      <c r="G17" s="7">
        <v>129</v>
      </c>
      <c r="H17" s="7">
        <v>9</v>
      </c>
      <c r="I17" s="7">
        <v>1278</v>
      </c>
      <c r="J17" s="7">
        <v>1284</v>
      </c>
      <c r="K17" s="6" t="s">
        <v>15</v>
      </c>
      <c r="L17" s="9" t="s">
        <v>534</v>
      </c>
      <c r="M17" s="7" t="s">
        <v>404</v>
      </c>
      <c r="N17" s="7" t="s">
        <v>50</v>
      </c>
      <c r="O17" s="7" t="s">
        <v>50</v>
      </c>
      <c r="P17" s="7" t="s">
        <v>50</v>
      </c>
      <c r="Q17" s="7" t="s">
        <v>50</v>
      </c>
      <c r="R17" s="8" t="s">
        <v>51</v>
      </c>
      <c r="S17" s="7" t="s">
        <v>52</v>
      </c>
      <c r="T17" s="8" t="s">
        <v>57</v>
      </c>
      <c r="U17" t="s">
        <v>560</v>
      </c>
      <c r="V17" s="8" t="s">
        <v>421</v>
      </c>
      <c r="W17" s="8" t="s">
        <v>89</v>
      </c>
      <c r="X17" s="8" t="s">
        <v>405</v>
      </c>
      <c r="Y17">
        <v>31</v>
      </c>
      <c r="Z17">
        <v>117</v>
      </c>
      <c r="AA17" s="19">
        <f t="shared" si="0"/>
        <v>0.26495726495726496</v>
      </c>
      <c r="AB17" t="s">
        <v>84</v>
      </c>
    </row>
    <row r="18" spans="1:28" x14ac:dyDescent="0.25">
      <c r="A18" s="6">
        <v>69</v>
      </c>
      <c r="B18" s="6" t="s">
        <v>166</v>
      </c>
      <c r="C18" s="6" t="s">
        <v>167</v>
      </c>
      <c r="D18" s="6" t="s">
        <v>26</v>
      </c>
      <c r="E18" s="6" t="s">
        <v>168</v>
      </c>
      <c r="F18" s="7">
        <v>2016</v>
      </c>
      <c r="G18" s="7">
        <v>10</v>
      </c>
      <c r="H18" s="7">
        <v>2</v>
      </c>
      <c r="I18" s="7">
        <v>26</v>
      </c>
      <c r="J18" s="7">
        <v>34</v>
      </c>
      <c r="K18" s="6" t="s">
        <v>15</v>
      </c>
      <c r="L18" s="6" t="s">
        <v>515</v>
      </c>
      <c r="M18" s="7" t="s">
        <v>270</v>
      </c>
      <c r="N18" s="7" t="s">
        <v>269</v>
      </c>
      <c r="O18" t="s">
        <v>50</v>
      </c>
      <c r="P18" t="s">
        <v>50</v>
      </c>
      <c r="Q18" t="s">
        <v>50</v>
      </c>
      <c r="R18" t="s">
        <v>51</v>
      </c>
      <c r="S18" t="s">
        <v>52</v>
      </c>
      <c r="T18" t="s">
        <v>57</v>
      </c>
      <c r="U18" t="s">
        <v>560</v>
      </c>
      <c r="V18" t="s">
        <v>274</v>
      </c>
      <c r="W18" t="s">
        <v>89</v>
      </c>
      <c r="X18" s="11" t="s">
        <v>271</v>
      </c>
      <c r="Y18">
        <v>53</v>
      </c>
      <c r="Z18">
        <v>73</v>
      </c>
      <c r="AA18" s="19">
        <f t="shared" si="0"/>
        <v>0.72602739726027399</v>
      </c>
      <c r="AB18" t="s">
        <v>84</v>
      </c>
    </row>
    <row r="19" spans="1:28" x14ac:dyDescent="0.25">
      <c r="A19" s="6">
        <v>596</v>
      </c>
      <c r="B19" s="6" t="s">
        <v>200</v>
      </c>
      <c r="C19" s="6" t="s">
        <v>201</v>
      </c>
      <c r="D19" s="6" t="s">
        <v>26</v>
      </c>
      <c r="E19" s="6" t="s">
        <v>202</v>
      </c>
      <c r="F19" s="7">
        <v>2016</v>
      </c>
      <c r="G19" s="7">
        <v>57</v>
      </c>
      <c r="H19" s="7" t="s">
        <v>184</v>
      </c>
      <c r="I19" s="7">
        <v>52</v>
      </c>
      <c r="J19" s="7">
        <v>59</v>
      </c>
      <c r="K19" s="6" t="s">
        <v>15</v>
      </c>
      <c r="L19" s="8" t="s">
        <v>526</v>
      </c>
      <c r="M19" s="8" t="s">
        <v>126</v>
      </c>
      <c r="N19" s="7" t="s">
        <v>50</v>
      </c>
      <c r="O19" s="7" t="s">
        <v>50</v>
      </c>
      <c r="P19" s="7" t="s">
        <v>50</v>
      </c>
      <c r="Q19" s="7" t="s">
        <v>50</v>
      </c>
      <c r="R19" s="8" t="s">
        <v>51</v>
      </c>
      <c r="S19" t="s">
        <v>52</v>
      </c>
      <c r="T19" s="8" t="s">
        <v>57</v>
      </c>
      <c r="U19" t="s">
        <v>560</v>
      </c>
      <c r="V19" s="11" t="s">
        <v>367</v>
      </c>
      <c r="W19" s="8" t="s">
        <v>89</v>
      </c>
      <c r="X19" t="s">
        <v>365</v>
      </c>
      <c r="Y19">
        <v>97</v>
      </c>
      <c r="Z19">
        <v>229</v>
      </c>
      <c r="AA19" s="19">
        <f t="shared" si="0"/>
        <v>0.42358078602620086</v>
      </c>
      <c r="AB19" t="s">
        <v>84</v>
      </c>
    </row>
    <row r="20" spans="1:28" x14ac:dyDescent="0.25">
      <c r="A20" s="6">
        <v>832</v>
      </c>
      <c r="B20" s="6" t="s">
        <v>225</v>
      </c>
      <c r="C20" s="6" t="s">
        <v>226</v>
      </c>
      <c r="D20" s="6" t="s">
        <v>26</v>
      </c>
      <c r="E20" s="6" t="s">
        <v>227</v>
      </c>
      <c r="F20" s="7">
        <v>2016</v>
      </c>
      <c r="G20" s="7">
        <v>79</v>
      </c>
      <c r="H20" s="7">
        <v>9</v>
      </c>
      <c r="I20" s="7">
        <v>1588</v>
      </c>
      <c r="J20" s="7">
        <v>1598</v>
      </c>
      <c r="K20" s="6" t="s">
        <v>15</v>
      </c>
      <c r="L20" s="8" t="s">
        <v>531</v>
      </c>
      <c r="M20" s="7" t="s">
        <v>50</v>
      </c>
      <c r="N20" s="7" t="s">
        <v>70</v>
      </c>
      <c r="O20" s="7" t="s">
        <v>50</v>
      </c>
      <c r="P20" s="7" t="s">
        <v>50</v>
      </c>
      <c r="Q20" s="7" t="s">
        <v>50</v>
      </c>
      <c r="R20" s="7" t="s">
        <v>50</v>
      </c>
      <c r="S20" t="s">
        <v>52</v>
      </c>
      <c r="T20" t="s">
        <v>57</v>
      </c>
      <c r="U20" t="s">
        <v>560</v>
      </c>
      <c r="V20" s="8" t="s">
        <v>426</v>
      </c>
      <c r="W20" s="8" t="s">
        <v>355</v>
      </c>
      <c r="X20" s="8" t="s">
        <v>356</v>
      </c>
      <c r="Y20">
        <v>64</v>
      </c>
      <c r="Z20">
        <v>277</v>
      </c>
      <c r="AA20" s="19">
        <f t="shared" si="0"/>
        <v>0.23104693140794225</v>
      </c>
      <c r="AB20" t="s">
        <v>84</v>
      </c>
    </row>
    <row r="21" spans="1:28" x14ac:dyDescent="0.25">
      <c r="A21" s="6">
        <v>595</v>
      </c>
      <c r="B21" s="6" t="s">
        <v>198</v>
      </c>
      <c r="C21" s="6" t="s">
        <v>199</v>
      </c>
      <c r="D21" s="6" t="s">
        <v>26</v>
      </c>
      <c r="E21" s="6" t="s">
        <v>180</v>
      </c>
      <c r="F21" s="7">
        <v>2017</v>
      </c>
      <c r="G21" s="7">
        <v>15</v>
      </c>
      <c r="H21" s="7">
        <v>1</v>
      </c>
      <c r="I21" s="7">
        <v>1</v>
      </c>
      <c r="J21" s="7">
        <v>16</v>
      </c>
      <c r="K21" s="6" t="s">
        <v>15</v>
      </c>
      <c r="L21" s="8" t="s">
        <v>525</v>
      </c>
      <c r="M21" s="7" t="s">
        <v>357</v>
      </c>
      <c r="N21" s="7" t="s">
        <v>50</v>
      </c>
      <c r="O21" s="7" t="s">
        <v>50</v>
      </c>
      <c r="P21" s="7" t="s">
        <v>50</v>
      </c>
      <c r="Q21" s="7" t="s">
        <v>50</v>
      </c>
      <c r="R21" s="8" t="s">
        <v>51</v>
      </c>
      <c r="S21" t="s">
        <v>52</v>
      </c>
      <c r="T21" t="s">
        <v>57</v>
      </c>
      <c r="U21" t="s">
        <v>560</v>
      </c>
      <c r="V21" s="11" t="s">
        <v>359</v>
      </c>
      <c r="W21" t="s">
        <v>89</v>
      </c>
      <c r="X21" t="s">
        <v>364</v>
      </c>
      <c r="Y21">
        <v>37</v>
      </c>
      <c r="Z21">
        <v>75</v>
      </c>
      <c r="AA21" s="19">
        <f t="shared" si="0"/>
        <v>0.49333333333333335</v>
      </c>
      <c r="AB21" t="s">
        <v>84</v>
      </c>
    </row>
    <row r="22" spans="1:28" x14ac:dyDescent="0.25">
      <c r="A22" s="6">
        <v>1080</v>
      </c>
      <c r="B22" s="6" t="s">
        <v>239</v>
      </c>
      <c r="C22" s="6" t="s">
        <v>240</v>
      </c>
      <c r="D22" s="6" t="s">
        <v>26</v>
      </c>
      <c r="E22" s="6" t="s">
        <v>202</v>
      </c>
      <c r="F22" s="7">
        <v>2017</v>
      </c>
      <c r="G22" s="7">
        <v>64</v>
      </c>
      <c r="H22" s="7" t="s">
        <v>184</v>
      </c>
      <c r="I22" s="7">
        <v>11</v>
      </c>
      <c r="J22" s="7">
        <v>20</v>
      </c>
      <c r="K22" s="6" t="s">
        <v>15</v>
      </c>
      <c r="L22" s="7" t="s">
        <v>536</v>
      </c>
      <c r="M22" s="7" t="s">
        <v>50</v>
      </c>
      <c r="N22" s="7" t="s">
        <v>50</v>
      </c>
      <c r="O22" s="7" t="s">
        <v>50</v>
      </c>
      <c r="P22" s="7" t="s">
        <v>50</v>
      </c>
      <c r="Q22" s="7" t="s">
        <v>50</v>
      </c>
      <c r="R22" s="7" t="s">
        <v>50</v>
      </c>
      <c r="S22" s="7" t="s">
        <v>52</v>
      </c>
      <c r="T22" s="7" t="s">
        <v>57</v>
      </c>
      <c r="U22" t="s">
        <v>560</v>
      </c>
      <c r="V22" s="8" t="s">
        <v>467</v>
      </c>
      <c r="W22" s="8" t="s">
        <v>89</v>
      </c>
      <c r="X22" t="s">
        <v>394</v>
      </c>
      <c r="Y22">
        <v>116</v>
      </c>
      <c r="Z22">
        <v>316</v>
      </c>
      <c r="AA22" s="19">
        <f t="shared" si="0"/>
        <v>0.36708860759493672</v>
      </c>
      <c r="AB22" t="s">
        <v>84</v>
      </c>
    </row>
    <row r="23" spans="1:28" s="20" customFormat="1" x14ac:dyDescent="0.25">
      <c r="A23" s="20">
        <v>653</v>
      </c>
      <c r="B23" s="20" t="s">
        <v>209</v>
      </c>
      <c r="C23" s="20" t="s">
        <v>210</v>
      </c>
      <c r="D23" s="20" t="s">
        <v>26</v>
      </c>
      <c r="E23" s="20" t="s">
        <v>211</v>
      </c>
      <c r="F23" s="21">
        <v>2005</v>
      </c>
      <c r="G23" s="21">
        <v>4</v>
      </c>
      <c r="H23" s="21" t="s">
        <v>212</v>
      </c>
      <c r="I23" s="21">
        <v>63</v>
      </c>
      <c r="J23" s="21">
        <v>77</v>
      </c>
      <c r="K23" s="20" t="s">
        <v>15</v>
      </c>
      <c r="L23" s="21" t="s">
        <v>530</v>
      </c>
      <c r="M23" s="21" t="s">
        <v>379</v>
      </c>
      <c r="N23" s="21" t="s">
        <v>380</v>
      </c>
      <c r="O23" s="21" t="s">
        <v>50</v>
      </c>
      <c r="P23" s="21" t="s">
        <v>50</v>
      </c>
      <c r="Q23" s="21" t="s">
        <v>50</v>
      </c>
      <c r="R23" s="21" t="s">
        <v>51</v>
      </c>
      <c r="S23" s="20" t="s">
        <v>52</v>
      </c>
      <c r="T23" s="20" t="s">
        <v>57</v>
      </c>
      <c r="U23" s="20" t="s">
        <v>564</v>
      </c>
      <c r="V23" s="21" t="s">
        <v>383</v>
      </c>
      <c r="W23" s="21" t="s">
        <v>89</v>
      </c>
      <c r="X23" s="21" t="s">
        <v>382</v>
      </c>
      <c r="Y23" s="25">
        <f>60.7%*Z23</f>
        <v>16.995999999999999</v>
      </c>
      <c r="Z23" s="20">
        <v>28</v>
      </c>
      <c r="AA23" s="26">
        <f t="shared" si="0"/>
        <v>0.60699999999999998</v>
      </c>
      <c r="AB23" s="20" t="s">
        <v>84</v>
      </c>
    </row>
    <row r="24" spans="1:28" s="20" customFormat="1" x14ac:dyDescent="0.25">
      <c r="A24" s="20">
        <v>157</v>
      </c>
      <c r="B24" s="20" t="s">
        <v>178</v>
      </c>
      <c r="C24" s="20" t="s">
        <v>179</v>
      </c>
      <c r="D24" s="20" t="s">
        <v>26</v>
      </c>
      <c r="E24" s="20" t="s">
        <v>180</v>
      </c>
      <c r="F24" s="21">
        <v>2009</v>
      </c>
      <c r="G24" s="21">
        <v>7</v>
      </c>
      <c r="H24" s="21">
        <v>4</v>
      </c>
      <c r="I24" s="21">
        <v>259</v>
      </c>
      <c r="J24" s="21">
        <v>284</v>
      </c>
      <c r="K24" s="20" t="s">
        <v>15</v>
      </c>
      <c r="L24" s="21" t="s">
        <v>506</v>
      </c>
      <c r="M24" s="21" t="s">
        <v>295</v>
      </c>
      <c r="N24" s="21" t="s">
        <v>70</v>
      </c>
      <c r="O24" s="20" t="s">
        <v>50</v>
      </c>
      <c r="P24" s="20" t="s">
        <v>50</v>
      </c>
      <c r="Q24" s="20" t="s">
        <v>50</v>
      </c>
      <c r="R24" s="21" t="s">
        <v>51</v>
      </c>
      <c r="S24" s="21" t="s">
        <v>52</v>
      </c>
      <c r="T24" s="21" t="s">
        <v>57</v>
      </c>
      <c r="U24" s="20" t="s">
        <v>564</v>
      </c>
      <c r="V24" s="21" t="s">
        <v>296</v>
      </c>
      <c r="W24" s="21" t="s">
        <v>89</v>
      </c>
      <c r="X24" s="21" t="s">
        <v>294</v>
      </c>
      <c r="Y24" s="20">
        <v>52</v>
      </c>
      <c r="Z24" s="20">
        <v>56</v>
      </c>
      <c r="AA24" s="26">
        <f t="shared" si="0"/>
        <v>0.9285714285714286</v>
      </c>
      <c r="AB24" s="20" t="s">
        <v>297</v>
      </c>
    </row>
    <row r="25" spans="1:28" s="20" customFormat="1" x14ac:dyDescent="0.25">
      <c r="A25" s="20">
        <v>79</v>
      </c>
      <c r="B25" s="20" t="s">
        <v>12</v>
      </c>
      <c r="C25" s="20" t="s">
        <v>13</v>
      </c>
      <c r="E25" s="20" t="s">
        <v>14</v>
      </c>
      <c r="F25" s="21">
        <v>2010</v>
      </c>
      <c r="G25" s="21">
        <v>21</v>
      </c>
      <c r="H25" s="21">
        <v>10</v>
      </c>
      <c r="I25" s="21">
        <v>1318</v>
      </c>
      <c r="J25" s="21">
        <v>1321</v>
      </c>
      <c r="K25" s="20" t="s">
        <v>15</v>
      </c>
      <c r="L25" s="24" t="s">
        <v>517</v>
      </c>
      <c r="M25" s="21" t="s">
        <v>69</v>
      </c>
      <c r="N25" s="20" t="s">
        <v>70</v>
      </c>
      <c r="O25" s="20" t="s">
        <v>50</v>
      </c>
      <c r="P25" s="20" t="s">
        <v>50</v>
      </c>
      <c r="Q25" s="20" t="s">
        <v>484</v>
      </c>
      <c r="R25" s="20" t="s">
        <v>51</v>
      </c>
      <c r="S25" s="20" t="s">
        <v>52</v>
      </c>
      <c r="T25" s="20" t="s">
        <v>57</v>
      </c>
      <c r="U25" s="20" t="s">
        <v>564</v>
      </c>
      <c r="V25" s="20" t="s">
        <v>78</v>
      </c>
      <c r="W25" s="20" t="s">
        <v>89</v>
      </c>
      <c r="X25" s="20" t="s">
        <v>120</v>
      </c>
      <c r="Y25" s="20">
        <v>47</v>
      </c>
      <c r="Z25" s="20">
        <v>74</v>
      </c>
      <c r="AA25" s="26">
        <f t="shared" si="0"/>
        <v>0.63513513513513509</v>
      </c>
      <c r="AB25" s="20" t="s">
        <v>73</v>
      </c>
    </row>
    <row r="26" spans="1:28" s="20" customFormat="1" x14ac:dyDescent="0.25">
      <c r="A26" s="20">
        <v>1086</v>
      </c>
      <c r="B26" s="20" t="s">
        <v>21</v>
      </c>
      <c r="C26" s="20" t="s">
        <v>22</v>
      </c>
      <c r="E26" s="20" t="s">
        <v>23</v>
      </c>
      <c r="F26" s="21">
        <v>2014</v>
      </c>
      <c r="G26" s="21">
        <v>71</v>
      </c>
      <c r="H26" s="21">
        <v>4</v>
      </c>
      <c r="I26" s="21">
        <v>265</v>
      </c>
      <c r="J26" s="21">
        <v>269</v>
      </c>
      <c r="K26" s="20" t="s">
        <v>15</v>
      </c>
      <c r="L26" s="21" t="s">
        <v>537</v>
      </c>
      <c r="M26" s="20" t="s">
        <v>50</v>
      </c>
      <c r="N26" s="20" t="s">
        <v>109</v>
      </c>
      <c r="O26" s="20" t="s">
        <v>50</v>
      </c>
      <c r="P26" s="20" t="s">
        <v>50</v>
      </c>
      <c r="Q26" s="20" t="s">
        <v>50</v>
      </c>
      <c r="R26" s="20" t="s">
        <v>50</v>
      </c>
      <c r="S26" s="20" t="s">
        <v>52</v>
      </c>
      <c r="T26" s="20" t="s">
        <v>57</v>
      </c>
      <c r="U26" s="20" t="s">
        <v>564</v>
      </c>
      <c r="V26" s="20" t="s">
        <v>112</v>
      </c>
      <c r="W26" s="20" t="s">
        <v>89</v>
      </c>
      <c r="X26" s="20" t="s">
        <v>110</v>
      </c>
      <c r="Y26" s="20">
        <v>81</v>
      </c>
      <c r="Z26" s="20">
        <v>124</v>
      </c>
      <c r="AA26" s="26">
        <f t="shared" si="0"/>
        <v>0.65322580645161288</v>
      </c>
      <c r="AB26" s="20" t="s">
        <v>73</v>
      </c>
    </row>
    <row r="27" spans="1:28" s="20" customFormat="1" x14ac:dyDescent="0.25">
      <c r="A27" s="20">
        <v>923</v>
      </c>
      <c r="B27" s="20" t="s">
        <v>233</v>
      </c>
      <c r="C27" s="20" t="s">
        <v>234</v>
      </c>
      <c r="D27" s="20" t="s">
        <v>26</v>
      </c>
      <c r="E27" s="20" t="s">
        <v>235</v>
      </c>
      <c r="F27" s="21">
        <v>2015</v>
      </c>
      <c r="G27" s="21">
        <v>129</v>
      </c>
      <c r="H27" s="21">
        <v>9</v>
      </c>
      <c r="I27" s="21">
        <v>1278</v>
      </c>
      <c r="J27" s="21">
        <v>1284</v>
      </c>
      <c r="K27" s="20" t="s">
        <v>15</v>
      </c>
      <c r="L27" s="24" t="s">
        <v>534</v>
      </c>
      <c r="M27" s="21" t="s">
        <v>404</v>
      </c>
      <c r="N27" s="21" t="s">
        <v>50</v>
      </c>
      <c r="O27" s="21" t="s">
        <v>50</v>
      </c>
      <c r="P27" s="21" t="s">
        <v>50</v>
      </c>
      <c r="Q27" s="21" t="s">
        <v>50</v>
      </c>
      <c r="R27" s="21" t="s">
        <v>51</v>
      </c>
      <c r="S27" s="21" t="s">
        <v>52</v>
      </c>
      <c r="T27" s="21" t="s">
        <v>57</v>
      </c>
      <c r="U27" s="20" t="s">
        <v>564</v>
      </c>
      <c r="V27" s="21" t="s">
        <v>422</v>
      </c>
      <c r="W27" s="21" t="s">
        <v>89</v>
      </c>
      <c r="X27" s="21" t="s">
        <v>405</v>
      </c>
      <c r="Y27" s="20">
        <v>64</v>
      </c>
      <c r="Z27" s="20">
        <v>117</v>
      </c>
      <c r="AA27" s="26">
        <f t="shared" si="0"/>
        <v>0.54700854700854706</v>
      </c>
      <c r="AB27" s="20" t="s">
        <v>84</v>
      </c>
    </row>
    <row r="28" spans="1:28" s="20" customFormat="1" x14ac:dyDescent="0.25">
      <c r="A28" s="20">
        <v>69</v>
      </c>
      <c r="B28" s="20" t="s">
        <v>166</v>
      </c>
      <c r="C28" s="20" t="s">
        <v>167</v>
      </c>
      <c r="D28" s="20" t="s">
        <v>26</v>
      </c>
      <c r="E28" s="20" t="s">
        <v>168</v>
      </c>
      <c r="F28" s="21">
        <v>2016</v>
      </c>
      <c r="G28" s="21">
        <v>10</v>
      </c>
      <c r="H28" s="21">
        <v>2</v>
      </c>
      <c r="I28" s="21">
        <v>26</v>
      </c>
      <c r="J28" s="21">
        <v>34</v>
      </c>
      <c r="K28" s="20" t="s">
        <v>15</v>
      </c>
      <c r="L28" s="20" t="s">
        <v>515</v>
      </c>
      <c r="M28" s="21" t="s">
        <v>270</v>
      </c>
      <c r="N28" s="21" t="s">
        <v>269</v>
      </c>
      <c r="O28" s="20" t="s">
        <v>50</v>
      </c>
      <c r="P28" s="20" t="s">
        <v>50</v>
      </c>
      <c r="Q28" s="20" t="s">
        <v>50</v>
      </c>
      <c r="R28" s="20" t="s">
        <v>51</v>
      </c>
      <c r="S28" s="20" t="s">
        <v>52</v>
      </c>
      <c r="T28" s="20" t="s">
        <v>57</v>
      </c>
      <c r="U28" s="20" t="s">
        <v>564</v>
      </c>
      <c r="V28" s="20" t="s">
        <v>275</v>
      </c>
      <c r="W28" s="20" t="s">
        <v>89</v>
      </c>
      <c r="X28" s="22" t="s">
        <v>271</v>
      </c>
      <c r="Y28" s="20">
        <v>63</v>
      </c>
      <c r="Z28" s="20">
        <v>73</v>
      </c>
      <c r="AA28" s="26">
        <f t="shared" si="0"/>
        <v>0.86301369863013699</v>
      </c>
      <c r="AB28" s="20" t="s">
        <v>84</v>
      </c>
    </row>
    <row r="29" spans="1:28" s="20" customFormat="1" x14ac:dyDescent="0.25">
      <c r="A29" s="20">
        <v>291</v>
      </c>
      <c r="B29" s="20" t="s">
        <v>188</v>
      </c>
      <c r="C29" s="20" t="s">
        <v>189</v>
      </c>
      <c r="D29" s="20" t="s">
        <v>26</v>
      </c>
      <c r="E29" s="20" t="s">
        <v>14</v>
      </c>
      <c r="F29" s="21">
        <v>2016</v>
      </c>
      <c r="G29" s="21">
        <v>63</v>
      </c>
      <c r="H29" s="21" t="s">
        <v>184</v>
      </c>
      <c r="I29" s="21">
        <v>147</v>
      </c>
      <c r="J29" s="21">
        <v>157</v>
      </c>
      <c r="K29" s="20" t="s">
        <v>15</v>
      </c>
      <c r="L29" s="20" t="s">
        <v>523</v>
      </c>
      <c r="M29" s="21" t="s">
        <v>50</v>
      </c>
      <c r="N29" s="21" t="s">
        <v>70</v>
      </c>
      <c r="O29" s="20" t="s">
        <v>50</v>
      </c>
      <c r="P29" s="20" t="s">
        <v>50</v>
      </c>
      <c r="Q29" s="20" t="s">
        <v>50</v>
      </c>
      <c r="R29" s="20" t="s">
        <v>50</v>
      </c>
      <c r="S29" s="21" t="s">
        <v>52</v>
      </c>
      <c r="T29" s="20" t="s">
        <v>57</v>
      </c>
      <c r="U29" s="20" t="s">
        <v>564</v>
      </c>
      <c r="V29" s="22" t="s">
        <v>342</v>
      </c>
      <c r="W29" s="21" t="s">
        <v>89</v>
      </c>
      <c r="X29" s="21" t="s">
        <v>338</v>
      </c>
      <c r="Y29" s="25">
        <f>21.5%*Z29</f>
        <v>39.99</v>
      </c>
      <c r="Z29" s="20">
        <v>186</v>
      </c>
      <c r="AA29" s="26">
        <f t="shared" si="0"/>
        <v>0.21500000000000002</v>
      </c>
      <c r="AB29" s="20" t="s">
        <v>339</v>
      </c>
    </row>
    <row r="30" spans="1:28" s="20" customFormat="1" x14ac:dyDescent="0.25">
      <c r="A30" s="20">
        <v>612</v>
      </c>
      <c r="B30" s="20" t="s">
        <v>206</v>
      </c>
      <c r="C30" s="20" t="s">
        <v>207</v>
      </c>
      <c r="D30" s="20" t="s">
        <v>26</v>
      </c>
      <c r="E30" s="20" t="s">
        <v>208</v>
      </c>
      <c r="F30" s="21">
        <v>2016</v>
      </c>
      <c r="G30" s="21">
        <v>6</v>
      </c>
      <c r="H30" s="21" t="s">
        <v>184</v>
      </c>
      <c r="I30" s="21">
        <v>58</v>
      </c>
      <c r="J30" s="21">
        <v>64</v>
      </c>
      <c r="K30" s="20" t="s">
        <v>15</v>
      </c>
      <c r="L30" s="21" t="s">
        <v>529</v>
      </c>
      <c r="M30" s="21" t="s">
        <v>404</v>
      </c>
      <c r="N30" s="21" t="s">
        <v>70</v>
      </c>
      <c r="O30" s="21" t="s">
        <v>50</v>
      </c>
      <c r="P30" s="21" t="s">
        <v>50</v>
      </c>
      <c r="Q30" s="21" t="s">
        <v>50</v>
      </c>
      <c r="R30" s="21" t="s">
        <v>51</v>
      </c>
      <c r="S30" s="20" t="s">
        <v>52</v>
      </c>
      <c r="T30" s="20" t="s">
        <v>57</v>
      </c>
      <c r="U30" s="20" t="s">
        <v>564</v>
      </c>
      <c r="V30" s="21" t="s">
        <v>78</v>
      </c>
      <c r="W30" s="21" t="s">
        <v>89</v>
      </c>
      <c r="X30" s="21" t="s">
        <v>373</v>
      </c>
      <c r="Y30" s="25">
        <f>53.6%*Z30</f>
        <v>42.88</v>
      </c>
      <c r="Z30" s="20">
        <v>80</v>
      </c>
      <c r="AA30" s="26">
        <f t="shared" si="0"/>
        <v>0.53600000000000003</v>
      </c>
      <c r="AB30" s="20" t="s">
        <v>84</v>
      </c>
    </row>
    <row r="31" spans="1:28" s="20" customFormat="1" x14ac:dyDescent="0.25">
      <c r="A31" s="20">
        <v>831</v>
      </c>
      <c r="B31" s="20" t="s">
        <v>222</v>
      </c>
      <c r="C31" s="20" t="s">
        <v>223</v>
      </c>
      <c r="D31" s="20" t="s">
        <v>26</v>
      </c>
      <c r="E31" s="20" t="s">
        <v>224</v>
      </c>
      <c r="F31" s="21">
        <v>2017</v>
      </c>
      <c r="G31" s="21">
        <v>66</v>
      </c>
      <c r="H31" s="21">
        <v>15</v>
      </c>
      <c r="I31" s="21">
        <v>404</v>
      </c>
      <c r="J31" s="21">
        <v>407</v>
      </c>
      <c r="K31" s="20" t="s">
        <v>15</v>
      </c>
      <c r="L31" s="21" t="s">
        <v>532</v>
      </c>
      <c r="M31" s="21" t="s">
        <v>50</v>
      </c>
      <c r="N31" s="21" t="s">
        <v>70</v>
      </c>
      <c r="O31" s="21" t="s">
        <v>50</v>
      </c>
      <c r="P31" s="21" t="s">
        <v>50</v>
      </c>
      <c r="Q31" s="21" t="s">
        <v>50</v>
      </c>
      <c r="R31" s="21" t="s">
        <v>50</v>
      </c>
      <c r="S31" s="20" t="s">
        <v>52</v>
      </c>
      <c r="T31" s="20" t="s">
        <v>57</v>
      </c>
      <c r="U31" s="20" t="s">
        <v>564</v>
      </c>
      <c r="V31" s="21" t="s">
        <v>396</v>
      </c>
      <c r="W31" s="21" t="s">
        <v>89</v>
      </c>
      <c r="X31" s="21" t="s">
        <v>382</v>
      </c>
      <c r="Y31" s="20">
        <v>153</v>
      </c>
      <c r="Z31" s="20">
        <v>277</v>
      </c>
      <c r="AA31" s="26">
        <f t="shared" si="0"/>
        <v>0.55234657039711188</v>
      </c>
      <c r="AB31" s="20" t="s">
        <v>397</v>
      </c>
    </row>
    <row r="32" spans="1:28" x14ac:dyDescent="0.25">
      <c r="A32" s="6">
        <v>653</v>
      </c>
      <c r="B32" s="6" t="s">
        <v>209</v>
      </c>
      <c r="C32" s="6" t="s">
        <v>210</v>
      </c>
      <c r="D32" s="6" t="s">
        <v>26</v>
      </c>
      <c r="E32" s="6" t="s">
        <v>211</v>
      </c>
      <c r="F32" s="7">
        <v>2005</v>
      </c>
      <c r="G32" s="7">
        <v>4</v>
      </c>
      <c r="H32" s="7" t="s">
        <v>212</v>
      </c>
      <c r="I32" s="7">
        <v>63</v>
      </c>
      <c r="J32" s="7">
        <v>77</v>
      </c>
      <c r="K32" s="6" t="s">
        <v>15</v>
      </c>
      <c r="L32" s="8" t="s">
        <v>530</v>
      </c>
      <c r="M32" s="7" t="s">
        <v>379</v>
      </c>
      <c r="N32" s="7" t="s">
        <v>380</v>
      </c>
      <c r="O32" s="7" t="s">
        <v>50</v>
      </c>
      <c r="P32" s="7" t="s">
        <v>50</v>
      </c>
      <c r="Q32" s="7" t="s">
        <v>50</v>
      </c>
      <c r="R32" s="7" t="s">
        <v>51</v>
      </c>
      <c r="S32" t="s">
        <v>52</v>
      </c>
      <c r="T32" t="s">
        <v>57</v>
      </c>
      <c r="U32" t="s">
        <v>559</v>
      </c>
      <c r="V32" s="8" t="s">
        <v>381</v>
      </c>
      <c r="W32" s="8" t="s">
        <v>89</v>
      </c>
      <c r="X32" s="8" t="s">
        <v>382</v>
      </c>
      <c r="Y32" s="3">
        <f>80.8%*Z32</f>
        <v>22.623999999999999</v>
      </c>
      <c r="Z32">
        <v>28</v>
      </c>
      <c r="AA32" s="19">
        <f t="shared" si="0"/>
        <v>0.80799999999999994</v>
      </c>
      <c r="AB32" t="s">
        <v>84</v>
      </c>
    </row>
    <row r="33" spans="1:28" x14ac:dyDescent="0.25">
      <c r="A33">
        <v>67</v>
      </c>
      <c r="B33" t="s">
        <v>163</v>
      </c>
      <c r="C33" t="s">
        <v>164</v>
      </c>
      <c r="D33" t="s">
        <v>26</v>
      </c>
      <c r="E33" t="s">
        <v>165</v>
      </c>
      <c r="F33" s="8">
        <v>2007</v>
      </c>
      <c r="G33" s="8">
        <v>48</v>
      </c>
      <c r="H33" s="8">
        <v>3</v>
      </c>
      <c r="I33" s="8">
        <v>274</v>
      </c>
      <c r="J33" s="8">
        <v>283</v>
      </c>
      <c r="K33" s="6" t="s">
        <v>15</v>
      </c>
      <c r="L33" s="6" t="s">
        <v>514</v>
      </c>
      <c r="M33" s="11" t="s">
        <v>292</v>
      </c>
      <c r="N33" s="7" t="s">
        <v>70</v>
      </c>
      <c r="O33" t="s">
        <v>50</v>
      </c>
      <c r="P33" t="s">
        <v>50</v>
      </c>
      <c r="Q33" t="s">
        <v>50</v>
      </c>
      <c r="R33" t="s">
        <v>51</v>
      </c>
      <c r="S33" t="s">
        <v>52</v>
      </c>
      <c r="T33" t="s">
        <v>57</v>
      </c>
      <c r="U33" t="s">
        <v>559</v>
      </c>
      <c r="V33" t="s">
        <v>268</v>
      </c>
      <c r="W33" t="s">
        <v>89</v>
      </c>
      <c r="X33" s="11" t="s">
        <v>267</v>
      </c>
      <c r="Y33" s="3">
        <f>27%*Z33</f>
        <v>9.18</v>
      </c>
      <c r="Z33">
        <v>34</v>
      </c>
      <c r="AA33" s="19">
        <f t="shared" si="0"/>
        <v>0.27</v>
      </c>
      <c r="AB33" t="s">
        <v>84</v>
      </c>
    </row>
    <row r="34" spans="1:28" x14ac:dyDescent="0.25">
      <c r="A34" s="6">
        <v>77</v>
      </c>
      <c r="B34" s="6" t="s">
        <v>24</v>
      </c>
      <c r="C34" s="6" t="s">
        <v>25</v>
      </c>
      <c r="D34" s="6" t="s">
        <v>26</v>
      </c>
      <c r="E34" s="6" t="s">
        <v>27</v>
      </c>
      <c r="F34" s="7">
        <v>2007</v>
      </c>
      <c r="G34" s="7">
        <v>98</v>
      </c>
      <c r="H34" s="7">
        <v>4</v>
      </c>
      <c r="I34" s="7">
        <v>344</v>
      </c>
      <c r="J34" s="7">
        <v>348</v>
      </c>
      <c r="K34" t="s">
        <v>15</v>
      </c>
      <c r="L34" t="s">
        <v>516</v>
      </c>
      <c r="M34" t="s">
        <v>49</v>
      </c>
      <c r="N34" t="s">
        <v>48</v>
      </c>
      <c r="O34" t="s">
        <v>50</v>
      </c>
      <c r="P34" t="s">
        <v>50</v>
      </c>
      <c r="Q34" t="s">
        <v>50</v>
      </c>
      <c r="R34" t="s">
        <v>51</v>
      </c>
      <c r="S34" t="s">
        <v>52</v>
      </c>
      <c r="T34" t="s">
        <v>57</v>
      </c>
      <c r="U34" t="s">
        <v>559</v>
      </c>
      <c r="V34" t="s">
        <v>59</v>
      </c>
      <c r="W34" t="s">
        <v>89</v>
      </c>
      <c r="X34" t="s">
        <v>119</v>
      </c>
      <c r="Y34">
        <v>62</v>
      </c>
      <c r="Z34">
        <v>100</v>
      </c>
      <c r="AA34" s="19">
        <f t="shared" si="0"/>
        <v>0.62</v>
      </c>
      <c r="AB34" t="s">
        <v>56</v>
      </c>
    </row>
    <row r="35" spans="1:28" x14ac:dyDescent="0.25">
      <c r="A35" s="6">
        <v>1148</v>
      </c>
      <c r="B35" s="6" t="s">
        <v>246</v>
      </c>
      <c r="C35" s="6" t="s">
        <v>247</v>
      </c>
      <c r="D35" s="6" t="s">
        <v>26</v>
      </c>
      <c r="E35" s="6" t="s">
        <v>248</v>
      </c>
      <c r="F35" s="7">
        <v>2007</v>
      </c>
      <c r="G35" s="7">
        <v>107</v>
      </c>
      <c r="H35" s="7" t="s">
        <v>249</v>
      </c>
      <c r="I35" s="7" t="s">
        <v>250</v>
      </c>
      <c r="J35" s="6" t="s">
        <v>251</v>
      </c>
      <c r="K35" s="6" t="s">
        <v>15</v>
      </c>
      <c r="L35" s="7" t="s">
        <v>539</v>
      </c>
      <c r="M35" s="7" t="s">
        <v>472</v>
      </c>
      <c r="N35" s="7" t="s">
        <v>70</v>
      </c>
      <c r="O35" s="7" t="s">
        <v>70</v>
      </c>
      <c r="P35" s="7" t="s">
        <v>70</v>
      </c>
      <c r="Q35" s="7" t="s">
        <v>50</v>
      </c>
      <c r="R35" s="7" t="s">
        <v>471</v>
      </c>
      <c r="S35" s="7" t="s">
        <v>52</v>
      </c>
      <c r="T35" s="7" t="s">
        <v>57</v>
      </c>
      <c r="U35" t="s">
        <v>559</v>
      </c>
      <c r="V35" s="8" t="s">
        <v>473</v>
      </c>
      <c r="W35" s="8" t="s">
        <v>89</v>
      </c>
      <c r="X35" t="s">
        <v>382</v>
      </c>
      <c r="Y35" s="3">
        <f>55.3%*Z35</f>
        <v>47.004999999999995</v>
      </c>
      <c r="Z35">
        <v>85</v>
      </c>
      <c r="AA35" s="19">
        <f t="shared" si="0"/>
        <v>0.55299999999999994</v>
      </c>
      <c r="AB35" t="s">
        <v>84</v>
      </c>
    </row>
    <row r="36" spans="1:28" x14ac:dyDescent="0.25">
      <c r="A36">
        <v>79</v>
      </c>
      <c r="B36" s="6" t="s">
        <v>12</v>
      </c>
      <c r="C36" s="6" t="s">
        <v>13</v>
      </c>
      <c r="D36" s="6"/>
      <c r="E36" s="6" t="s">
        <v>14</v>
      </c>
      <c r="F36" s="7">
        <v>2010</v>
      </c>
      <c r="G36" s="7">
        <v>21</v>
      </c>
      <c r="H36" s="7">
        <v>10</v>
      </c>
      <c r="I36" s="7">
        <v>1318</v>
      </c>
      <c r="J36" s="7">
        <v>1321</v>
      </c>
      <c r="K36" t="s">
        <v>15</v>
      </c>
      <c r="L36" s="9" t="s">
        <v>517</v>
      </c>
      <c r="M36" s="7" t="s">
        <v>69</v>
      </c>
      <c r="N36" t="s">
        <v>70</v>
      </c>
      <c r="O36" t="s">
        <v>50</v>
      </c>
      <c r="P36" t="s">
        <v>50</v>
      </c>
      <c r="Q36" t="s">
        <v>484</v>
      </c>
      <c r="R36" t="s">
        <v>51</v>
      </c>
      <c r="S36" t="s">
        <v>52</v>
      </c>
      <c r="T36" t="s">
        <v>57</v>
      </c>
      <c r="U36" t="s">
        <v>559</v>
      </c>
      <c r="V36" t="s">
        <v>71</v>
      </c>
      <c r="W36" t="s">
        <v>89</v>
      </c>
      <c r="X36" t="s">
        <v>120</v>
      </c>
      <c r="Y36">
        <v>1</v>
      </c>
      <c r="Z36">
        <v>74</v>
      </c>
      <c r="AA36" s="19">
        <f t="shared" si="0"/>
        <v>1.3513513513513514E-2</v>
      </c>
      <c r="AB36" t="s">
        <v>73</v>
      </c>
    </row>
    <row r="37" spans="1:28" x14ac:dyDescent="0.25">
      <c r="A37">
        <v>116</v>
      </c>
      <c r="B37" s="6" t="s">
        <v>169</v>
      </c>
      <c r="C37" s="6" t="s">
        <v>170</v>
      </c>
      <c r="D37" s="6"/>
      <c r="E37" s="6" t="s">
        <v>171</v>
      </c>
      <c r="F37" s="7">
        <v>2011</v>
      </c>
      <c r="G37" s="7">
        <v>41</v>
      </c>
      <c r="H37" s="7">
        <v>5</v>
      </c>
      <c r="I37" s="7">
        <v>713</v>
      </c>
      <c r="J37" s="7">
        <v>717</v>
      </c>
      <c r="K37" s="6" t="s">
        <v>15</v>
      </c>
      <c r="L37" s="9" t="s">
        <v>518</v>
      </c>
      <c r="M37" s="7" t="s">
        <v>50</v>
      </c>
      <c r="N37" s="7" t="s">
        <v>277</v>
      </c>
      <c r="O37" t="s">
        <v>50</v>
      </c>
      <c r="P37" t="s">
        <v>50</v>
      </c>
      <c r="Q37" t="s">
        <v>50</v>
      </c>
      <c r="R37" t="s">
        <v>50</v>
      </c>
      <c r="S37" t="s">
        <v>52</v>
      </c>
      <c r="T37" t="s">
        <v>57</v>
      </c>
      <c r="U37" t="s">
        <v>559</v>
      </c>
      <c r="V37" s="8" t="s">
        <v>280</v>
      </c>
      <c r="W37" t="s">
        <v>89</v>
      </c>
      <c r="X37" s="11" t="s">
        <v>278</v>
      </c>
      <c r="Y37">
        <v>61</v>
      </c>
      <c r="Z37">
        <v>90</v>
      </c>
      <c r="AA37" s="19">
        <f t="shared" si="0"/>
        <v>0.67777777777777781</v>
      </c>
      <c r="AB37" t="s">
        <v>84</v>
      </c>
    </row>
    <row r="38" spans="1:28" x14ac:dyDescent="0.25">
      <c r="A38" s="6">
        <v>835</v>
      </c>
      <c r="B38" s="6" t="s">
        <v>228</v>
      </c>
      <c r="C38" s="6" t="s">
        <v>229</v>
      </c>
      <c r="D38" s="6" t="s">
        <v>26</v>
      </c>
      <c r="E38" s="6" t="s">
        <v>168</v>
      </c>
      <c r="F38" s="7">
        <v>2011</v>
      </c>
      <c r="G38" s="7">
        <v>5</v>
      </c>
      <c r="H38" s="7" t="s">
        <v>184</v>
      </c>
      <c r="I38" s="7">
        <v>15</v>
      </c>
      <c r="J38" s="7">
        <v>21</v>
      </c>
      <c r="K38" s="6" t="s">
        <v>15</v>
      </c>
      <c r="L38" s="9" t="s">
        <v>533</v>
      </c>
      <c r="M38" s="7" t="s">
        <v>50</v>
      </c>
      <c r="N38" s="7" t="s">
        <v>50</v>
      </c>
      <c r="O38" s="7" t="s">
        <v>50</v>
      </c>
      <c r="P38" s="7" t="s">
        <v>50</v>
      </c>
      <c r="Q38" s="7" t="s">
        <v>50</v>
      </c>
      <c r="R38" s="7" t="s">
        <v>50</v>
      </c>
      <c r="S38" t="s">
        <v>52</v>
      </c>
      <c r="T38" s="8" t="s">
        <v>57</v>
      </c>
      <c r="U38" t="s">
        <v>559</v>
      </c>
      <c r="V38" s="8" t="s">
        <v>399</v>
      </c>
      <c r="W38" s="8" t="s">
        <v>89</v>
      </c>
      <c r="X38" s="8" t="s">
        <v>398</v>
      </c>
      <c r="Y38">
        <f>95-54</f>
        <v>41</v>
      </c>
      <c r="Z38">
        <v>95</v>
      </c>
      <c r="AA38" s="19">
        <f t="shared" si="0"/>
        <v>0.43157894736842106</v>
      </c>
      <c r="AB38" t="s">
        <v>84</v>
      </c>
    </row>
    <row r="39" spans="1:28" x14ac:dyDescent="0.25">
      <c r="A39" s="6">
        <v>1149</v>
      </c>
      <c r="B39" s="6" t="s">
        <v>252</v>
      </c>
      <c r="C39" s="6" t="s">
        <v>253</v>
      </c>
      <c r="D39" s="6" t="s">
        <v>26</v>
      </c>
      <c r="E39" s="6" t="s">
        <v>172</v>
      </c>
      <c r="F39" s="7">
        <v>2011</v>
      </c>
      <c r="G39" s="7">
        <v>1</v>
      </c>
      <c r="H39" s="7" t="s">
        <v>254</v>
      </c>
      <c r="I39" s="7" t="s">
        <v>255</v>
      </c>
      <c r="J39" s="7" t="s">
        <v>256</v>
      </c>
      <c r="K39" s="6" t="s">
        <v>15</v>
      </c>
      <c r="L39" s="7" t="s">
        <v>538</v>
      </c>
      <c r="M39" s="7" t="s">
        <v>70</v>
      </c>
      <c r="N39" s="7" t="s">
        <v>70</v>
      </c>
      <c r="O39" s="7" t="s">
        <v>70</v>
      </c>
      <c r="P39" s="7" t="s">
        <v>70</v>
      </c>
      <c r="Q39" s="7" t="s">
        <v>50</v>
      </c>
      <c r="R39" s="7" t="s">
        <v>471</v>
      </c>
      <c r="S39" s="7" t="s">
        <v>52</v>
      </c>
      <c r="T39" s="7" t="s">
        <v>57</v>
      </c>
      <c r="U39" t="s">
        <v>559</v>
      </c>
      <c r="V39" s="8" t="s">
        <v>479</v>
      </c>
      <c r="W39" s="8" t="s">
        <v>89</v>
      </c>
      <c r="X39" t="s">
        <v>55</v>
      </c>
      <c r="Y39" s="3">
        <f>18%*Z39</f>
        <v>20.7</v>
      </c>
      <c r="Z39">
        <v>115</v>
      </c>
      <c r="AA39" s="19">
        <f t="shared" si="0"/>
        <v>0.18</v>
      </c>
      <c r="AB39" t="s">
        <v>84</v>
      </c>
    </row>
    <row r="40" spans="1:28" x14ac:dyDescent="0.25">
      <c r="A40" s="6">
        <v>370</v>
      </c>
      <c r="B40" s="6" t="s">
        <v>190</v>
      </c>
      <c r="C40" s="6" t="s">
        <v>191</v>
      </c>
      <c r="D40" s="6" t="s">
        <v>175</v>
      </c>
      <c r="E40" s="6" t="s">
        <v>192</v>
      </c>
      <c r="F40" s="7">
        <v>2013</v>
      </c>
      <c r="G40" s="7">
        <v>45</v>
      </c>
      <c r="H40" s="7" t="s">
        <v>193</v>
      </c>
      <c r="I40" s="7" t="s">
        <v>194</v>
      </c>
      <c r="J40" s="7" t="s">
        <v>184</v>
      </c>
      <c r="K40" s="6" t="s">
        <v>15</v>
      </c>
      <c r="L40" s="8" t="s">
        <v>524</v>
      </c>
      <c r="M40" s="7" t="s">
        <v>348</v>
      </c>
      <c r="N40" s="7" t="s">
        <v>70</v>
      </c>
      <c r="O40" s="7" t="s">
        <v>51</v>
      </c>
      <c r="P40" s="7" t="s">
        <v>51</v>
      </c>
      <c r="Q40" t="s">
        <v>50</v>
      </c>
      <c r="R40" s="8" t="s">
        <v>349</v>
      </c>
      <c r="S40" s="8" t="s">
        <v>52</v>
      </c>
      <c r="T40" t="s">
        <v>57</v>
      </c>
      <c r="U40" t="s">
        <v>559</v>
      </c>
      <c r="V40" s="8" t="s">
        <v>350</v>
      </c>
      <c r="W40" s="8" t="s">
        <v>89</v>
      </c>
      <c r="X40" s="8" t="s">
        <v>351</v>
      </c>
      <c r="Y40">
        <v>19</v>
      </c>
      <c r="Z40">
        <v>20</v>
      </c>
      <c r="AA40" s="19">
        <f t="shared" si="0"/>
        <v>0.95</v>
      </c>
      <c r="AB40" t="s">
        <v>84</v>
      </c>
    </row>
    <row r="41" spans="1:28" x14ac:dyDescent="0.25">
      <c r="A41">
        <v>1086</v>
      </c>
      <c r="B41" s="6" t="s">
        <v>21</v>
      </c>
      <c r="C41" s="6" t="s">
        <v>22</v>
      </c>
      <c r="D41" s="6"/>
      <c r="E41" s="6" t="s">
        <v>23</v>
      </c>
      <c r="F41" s="7">
        <v>2014</v>
      </c>
      <c r="G41" s="7">
        <v>71</v>
      </c>
      <c r="H41" s="7">
        <v>4</v>
      </c>
      <c r="I41" s="7">
        <v>265</v>
      </c>
      <c r="J41" s="7">
        <v>269</v>
      </c>
      <c r="K41" t="s">
        <v>15</v>
      </c>
      <c r="L41" s="7" t="s">
        <v>537</v>
      </c>
      <c r="M41" t="s">
        <v>50</v>
      </c>
      <c r="N41" t="s">
        <v>109</v>
      </c>
      <c r="O41" t="s">
        <v>50</v>
      </c>
      <c r="P41" t="s">
        <v>50</v>
      </c>
      <c r="Q41" t="s">
        <v>50</v>
      </c>
      <c r="R41" t="s">
        <v>50</v>
      </c>
      <c r="S41" t="s">
        <v>52</v>
      </c>
      <c r="T41" t="s">
        <v>57</v>
      </c>
      <c r="U41" t="s">
        <v>559</v>
      </c>
      <c r="V41" t="s">
        <v>59</v>
      </c>
      <c r="W41" t="s">
        <v>89</v>
      </c>
      <c r="X41" t="s">
        <v>110</v>
      </c>
      <c r="Y41">
        <v>7</v>
      </c>
      <c r="Z41">
        <v>124</v>
      </c>
      <c r="AA41" s="19">
        <f t="shared" si="0"/>
        <v>5.6451612903225805E-2</v>
      </c>
      <c r="AB41" t="s">
        <v>73</v>
      </c>
    </row>
    <row r="42" spans="1:28" x14ac:dyDescent="0.25">
      <c r="A42" s="6">
        <v>597</v>
      </c>
      <c r="B42" s="6" t="s">
        <v>122</v>
      </c>
      <c r="C42" s="6" t="s">
        <v>123</v>
      </c>
      <c r="D42" s="6" t="s">
        <v>26</v>
      </c>
      <c r="E42" s="6" t="s">
        <v>124</v>
      </c>
      <c r="F42" s="7">
        <v>2015</v>
      </c>
      <c r="G42" s="7">
        <v>18</v>
      </c>
      <c r="H42" s="7">
        <v>5</v>
      </c>
      <c r="I42" s="7">
        <v>454</v>
      </c>
      <c r="J42" s="7">
        <v>469</v>
      </c>
      <c r="K42" t="s">
        <v>15</v>
      </c>
      <c r="L42" s="8" t="s">
        <v>527</v>
      </c>
      <c r="M42" t="s">
        <v>126</v>
      </c>
      <c r="N42" t="s">
        <v>125</v>
      </c>
      <c r="O42" t="s">
        <v>50</v>
      </c>
      <c r="P42" t="s">
        <v>50</v>
      </c>
      <c r="Q42" t="s">
        <v>50</v>
      </c>
      <c r="R42" t="s">
        <v>51</v>
      </c>
      <c r="S42" t="s">
        <v>52</v>
      </c>
      <c r="T42" t="s">
        <v>57</v>
      </c>
      <c r="U42" t="s">
        <v>559</v>
      </c>
      <c r="V42" s="11" t="s">
        <v>129</v>
      </c>
      <c r="W42" s="8" t="s">
        <v>89</v>
      </c>
      <c r="X42" t="s">
        <v>127</v>
      </c>
      <c r="Y42">
        <v>85</v>
      </c>
      <c r="Z42">
        <v>110</v>
      </c>
      <c r="AA42" s="19">
        <f t="shared" si="0"/>
        <v>0.77272727272727271</v>
      </c>
      <c r="AB42" t="s">
        <v>84</v>
      </c>
    </row>
    <row r="43" spans="1:28" x14ac:dyDescent="0.25">
      <c r="A43" s="6">
        <v>923</v>
      </c>
      <c r="B43" s="6" t="s">
        <v>233</v>
      </c>
      <c r="C43" s="6" t="s">
        <v>234</v>
      </c>
      <c r="D43" s="6" t="s">
        <v>26</v>
      </c>
      <c r="E43" s="6" t="s">
        <v>235</v>
      </c>
      <c r="F43" s="7">
        <v>2015</v>
      </c>
      <c r="G43" s="7">
        <v>129</v>
      </c>
      <c r="H43" s="7">
        <v>9</v>
      </c>
      <c r="I43" s="7">
        <v>1278</v>
      </c>
      <c r="J43" s="7">
        <v>1284</v>
      </c>
      <c r="K43" s="6" t="s">
        <v>15</v>
      </c>
      <c r="L43" s="9" t="s">
        <v>534</v>
      </c>
      <c r="M43" s="7" t="s">
        <v>404</v>
      </c>
      <c r="N43" s="7" t="s">
        <v>50</v>
      </c>
      <c r="O43" s="7" t="s">
        <v>50</v>
      </c>
      <c r="P43" s="7" t="s">
        <v>50</v>
      </c>
      <c r="Q43" s="7" t="s">
        <v>50</v>
      </c>
      <c r="R43" s="8" t="s">
        <v>51</v>
      </c>
      <c r="S43" s="7" t="s">
        <v>52</v>
      </c>
      <c r="T43" s="8" t="s">
        <v>57</v>
      </c>
      <c r="U43" t="s">
        <v>559</v>
      </c>
      <c r="V43" s="8" t="s">
        <v>419</v>
      </c>
      <c r="W43" s="8" t="s">
        <v>89</v>
      </c>
      <c r="X43" s="8" t="s">
        <v>405</v>
      </c>
      <c r="Y43">
        <v>38</v>
      </c>
      <c r="Z43">
        <v>117</v>
      </c>
      <c r="AA43" s="19">
        <f t="shared" si="0"/>
        <v>0.3247863247863248</v>
      </c>
      <c r="AB43" t="s">
        <v>84</v>
      </c>
    </row>
    <row r="44" spans="1:28" x14ac:dyDescent="0.25">
      <c r="A44" s="6">
        <v>69</v>
      </c>
      <c r="B44" s="6" t="s">
        <v>166</v>
      </c>
      <c r="C44" s="6" t="s">
        <v>167</v>
      </c>
      <c r="D44" s="6" t="s">
        <v>26</v>
      </c>
      <c r="E44" s="6" t="s">
        <v>168</v>
      </c>
      <c r="F44" s="7">
        <v>2016</v>
      </c>
      <c r="G44" s="7">
        <v>10</v>
      </c>
      <c r="H44" s="7">
        <v>2</v>
      </c>
      <c r="I44" s="7">
        <v>26</v>
      </c>
      <c r="J44" s="7">
        <v>34</v>
      </c>
      <c r="K44" s="6" t="s">
        <v>15</v>
      </c>
      <c r="L44" s="6" t="s">
        <v>515</v>
      </c>
      <c r="M44" s="7" t="s">
        <v>270</v>
      </c>
      <c r="N44" s="7" t="s">
        <v>269</v>
      </c>
      <c r="O44" t="s">
        <v>50</v>
      </c>
      <c r="P44" t="s">
        <v>50</v>
      </c>
      <c r="Q44" t="s">
        <v>50</v>
      </c>
      <c r="R44" t="s">
        <v>51</v>
      </c>
      <c r="S44" t="s">
        <v>52</v>
      </c>
      <c r="T44" t="s">
        <v>57</v>
      </c>
      <c r="U44" t="s">
        <v>559</v>
      </c>
      <c r="V44" t="s">
        <v>272</v>
      </c>
      <c r="W44" t="s">
        <v>89</v>
      </c>
      <c r="X44" s="11" t="s">
        <v>271</v>
      </c>
      <c r="Y44">
        <v>55</v>
      </c>
      <c r="Z44">
        <v>76</v>
      </c>
      <c r="AA44" s="19">
        <f t="shared" si="0"/>
        <v>0.72368421052631582</v>
      </c>
      <c r="AB44" t="s">
        <v>84</v>
      </c>
    </row>
    <row r="45" spans="1:28" x14ac:dyDescent="0.25">
      <c r="A45" s="6">
        <v>596</v>
      </c>
      <c r="B45" s="6" t="s">
        <v>200</v>
      </c>
      <c r="C45" s="6" t="s">
        <v>201</v>
      </c>
      <c r="D45" s="6" t="s">
        <v>26</v>
      </c>
      <c r="E45" s="6" t="s">
        <v>202</v>
      </c>
      <c r="F45" s="7">
        <v>2016</v>
      </c>
      <c r="G45" s="7">
        <v>57</v>
      </c>
      <c r="H45" s="7" t="s">
        <v>184</v>
      </c>
      <c r="I45" s="7">
        <v>52</v>
      </c>
      <c r="J45" s="7">
        <v>59</v>
      </c>
      <c r="K45" s="6" t="s">
        <v>15</v>
      </c>
      <c r="L45" s="8" t="s">
        <v>526</v>
      </c>
      <c r="M45" s="8" t="s">
        <v>126</v>
      </c>
      <c r="N45" s="7" t="s">
        <v>50</v>
      </c>
      <c r="O45" s="7" t="s">
        <v>50</v>
      </c>
      <c r="P45" s="7" t="s">
        <v>50</v>
      </c>
      <c r="Q45" s="7" t="s">
        <v>50</v>
      </c>
      <c r="R45" s="8" t="s">
        <v>51</v>
      </c>
      <c r="S45" t="s">
        <v>52</v>
      </c>
      <c r="T45" s="8" t="s">
        <v>57</v>
      </c>
      <c r="U45" t="s">
        <v>559</v>
      </c>
      <c r="V45" s="11" t="s">
        <v>366</v>
      </c>
      <c r="W45" s="8" t="s">
        <v>89</v>
      </c>
      <c r="X45" t="s">
        <v>365</v>
      </c>
      <c r="Y45">
        <v>175</v>
      </c>
      <c r="Z45">
        <v>229</v>
      </c>
      <c r="AA45" s="19">
        <f t="shared" si="0"/>
        <v>0.76419213973799127</v>
      </c>
      <c r="AB45" t="s">
        <v>84</v>
      </c>
    </row>
    <row r="46" spans="1:28" x14ac:dyDescent="0.25">
      <c r="A46" s="6">
        <v>612</v>
      </c>
      <c r="B46" s="6" t="s">
        <v>206</v>
      </c>
      <c r="C46" s="6" t="s">
        <v>207</v>
      </c>
      <c r="D46" s="6" t="s">
        <v>26</v>
      </c>
      <c r="E46" s="6" t="s">
        <v>208</v>
      </c>
      <c r="F46" s="7">
        <v>2016</v>
      </c>
      <c r="G46" s="7">
        <v>6</v>
      </c>
      <c r="H46" s="7" t="s">
        <v>184</v>
      </c>
      <c r="I46" s="7">
        <v>58</v>
      </c>
      <c r="J46" s="7">
        <v>64</v>
      </c>
      <c r="K46" s="6" t="s">
        <v>15</v>
      </c>
      <c r="L46" s="8" t="s">
        <v>529</v>
      </c>
      <c r="M46" s="7" t="s">
        <v>404</v>
      </c>
      <c r="N46" s="7" t="s">
        <v>70</v>
      </c>
      <c r="O46" s="7" t="s">
        <v>50</v>
      </c>
      <c r="P46" s="7" t="s">
        <v>50</v>
      </c>
      <c r="Q46" s="7" t="s">
        <v>50</v>
      </c>
      <c r="R46" s="8" t="s">
        <v>51</v>
      </c>
      <c r="S46" t="s">
        <v>52</v>
      </c>
      <c r="T46" t="s">
        <v>57</v>
      </c>
      <c r="U46" t="s">
        <v>559</v>
      </c>
      <c r="V46" s="8" t="s">
        <v>71</v>
      </c>
      <c r="W46" s="8" t="s">
        <v>89</v>
      </c>
      <c r="X46" s="8" t="s">
        <v>373</v>
      </c>
      <c r="Y46" s="3">
        <f>51.2%*Z46</f>
        <v>40.96</v>
      </c>
      <c r="Z46">
        <v>80</v>
      </c>
      <c r="AA46" s="19">
        <f t="shared" si="0"/>
        <v>0.51200000000000001</v>
      </c>
      <c r="AB46" t="s">
        <v>84</v>
      </c>
    </row>
    <row r="47" spans="1:28" x14ac:dyDescent="0.25">
      <c r="A47" s="6">
        <v>832</v>
      </c>
      <c r="B47" s="6" t="s">
        <v>225</v>
      </c>
      <c r="C47" s="6" t="s">
        <v>226</v>
      </c>
      <c r="D47" s="6" t="s">
        <v>26</v>
      </c>
      <c r="E47" s="6" t="s">
        <v>227</v>
      </c>
      <c r="F47" s="7">
        <v>2016</v>
      </c>
      <c r="G47" s="7">
        <v>79</v>
      </c>
      <c r="H47" s="7">
        <v>9</v>
      </c>
      <c r="I47" s="7">
        <v>1588</v>
      </c>
      <c r="J47" s="7">
        <v>1598</v>
      </c>
      <c r="K47" s="6" t="s">
        <v>15</v>
      </c>
      <c r="L47" s="8" t="s">
        <v>531</v>
      </c>
      <c r="M47" s="7" t="s">
        <v>50</v>
      </c>
      <c r="N47" s="7" t="s">
        <v>70</v>
      </c>
      <c r="O47" s="7" t="s">
        <v>50</v>
      </c>
      <c r="P47" s="7" t="s">
        <v>50</v>
      </c>
      <c r="Q47" s="7" t="s">
        <v>50</v>
      </c>
      <c r="R47" s="7" t="s">
        <v>50</v>
      </c>
      <c r="S47" t="s">
        <v>52</v>
      </c>
      <c r="T47" t="s">
        <v>57</v>
      </c>
      <c r="U47" t="s">
        <v>559</v>
      </c>
      <c r="V47" s="8" t="s">
        <v>425</v>
      </c>
      <c r="W47" s="8" t="s">
        <v>89</v>
      </c>
      <c r="X47" s="8" t="s">
        <v>382</v>
      </c>
      <c r="Y47">
        <v>189</v>
      </c>
      <c r="Z47">
        <v>267</v>
      </c>
      <c r="AA47" s="19">
        <f t="shared" si="0"/>
        <v>0.7078651685393258</v>
      </c>
      <c r="AB47" t="s">
        <v>84</v>
      </c>
    </row>
    <row r="48" spans="1:28" x14ac:dyDescent="0.25">
      <c r="A48" s="6">
        <v>595</v>
      </c>
      <c r="B48" s="6" t="s">
        <v>198</v>
      </c>
      <c r="C48" s="6" t="s">
        <v>199</v>
      </c>
      <c r="D48" s="6" t="s">
        <v>26</v>
      </c>
      <c r="E48" s="6" t="s">
        <v>180</v>
      </c>
      <c r="F48" s="7">
        <v>2017</v>
      </c>
      <c r="G48" s="7">
        <v>15</v>
      </c>
      <c r="H48" s="7">
        <v>1</v>
      </c>
      <c r="I48" s="7">
        <v>1</v>
      </c>
      <c r="J48" s="7">
        <v>16</v>
      </c>
      <c r="K48" s="6" t="s">
        <v>15</v>
      </c>
      <c r="L48" s="8" t="s">
        <v>525</v>
      </c>
      <c r="M48" s="7" t="s">
        <v>357</v>
      </c>
      <c r="N48" s="7" t="s">
        <v>50</v>
      </c>
      <c r="O48" s="7" t="s">
        <v>50</v>
      </c>
      <c r="P48" s="7" t="s">
        <v>50</v>
      </c>
      <c r="Q48" s="7" t="s">
        <v>50</v>
      </c>
      <c r="R48" s="8" t="s">
        <v>51</v>
      </c>
      <c r="S48" t="s">
        <v>52</v>
      </c>
      <c r="T48" t="s">
        <v>57</v>
      </c>
      <c r="U48" t="s">
        <v>559</v>
      </c>
      <c r="V48" s="11" t="s">
        <v>358</v>
      </c>
      <c r="W48" t="s">
        <v>89</v>
      </c>
      <c r="X48" t="s">
        <v>364</v>
      </c>
      <c r="Y48">
        <v>57</v>
      </c>
      <c r="Z48">
        <v>75</v>
      </c>
      <c r="AA48" s="19">
        <f t="shared" si="0"/>
        <v>0.76</v>
      </c>
      <c r="AB48" t="s">
        <v>84</v>
      </c>
    </row>
    <row r="49" spans="1:28" s="20" customFormat="1" x14ac:dyDescent="0.25">
      <c r="A49" s="20">
        <v>77</v>
      </c>
      <c r="B49" s="20" t="s">
        <v>24</v>
      </c>
      <c r="C49" s="20" t="s">
        <v>25</v>
      </c>
      <c r="D49" s="20" t="s">
        <v>26</v>
      </c>
      <c r="E49" s="20" t="s">
        <v>27</v>
      </c>
      <c r="F49" s="21">
        <v>2007</v>
      </c>
      <c r="G49" s="21">
        <v>98</v>
      </c>
      <c r="H49" s="21">
        <v>4</v>
      </c>
      <c r="I49" s="21">
        <v>344</v>
      </c>
      <c r="J49" s="21">
        <v>348</v>
      </c>
      <c r="K49" s="20" t="s">
        <v>15</v>
      </c>
      <c r="L49" s="20" t="s">
        <v>516</v>
      </c>
      <c r="M49" s="20" t="s">
        <v>49</v>
      </c>
      <c r="N49" s="20" t="s">
        <v>48</v>
      </c>
      <c r="O49" s="20" t="s">
        <v>50</v>
      </c>
      <c r="P49" s="20" t="s">
        <v>50</v>
      </c>
      <c r="Q49" s="20" t="s">
        <v>50</v>
      </c>
      <c r="R49" s="20" t="s">
        <v>51</v>
      </c>
      <c r="S49" s="20" t="s">
        <v>52</v>
      </c>
      <c r="T49" s="20" t="s">
        <v>57</v>
      </c>
      <c r="U49" s="20" t="s">
        <v>561</v>
      </c>
      <c r="V49" s="20" t="s">
        <v>58</v>
      </c>
      <c r="W49" s="20" t="s">
        <v>89</v>
      </c>
      <c r="X49" s="20" t="s">
        <v>119</v>
      </c>
      <c r="Y49" s="20">
        <v>58</v>
      </c>
      <c r="Z49" s="20">
        <v>100</v>
      </c>
      <c r="AA49" s="26">
        <f t="shared" si="0"/>
        <v>0.57999999999999996</v>
      </c>
      <c r="AB49" s="20" t="s">
        <v>56</v>
      </c>
    </row>
    <row r="50" spans="1:28" s="20" customFormat="1" x14ac:dyDescent="0.25">
      <c r="A50" s="20">
        <v>1148</v>
      </c>
      <c r="B50" s="20" t="s">
        <v>246</v>
      </c>
      <c r="C50" s="20" t="s">
        <v>247</v>
      </c>
      <c r="D50" s="20" t="s">
        <v>26</v>
      </c>
      <c r="E50" s="20" t="s">
        <v>248</v>
      </c>
      <c r="F50" s="21">
        <v>2007</v>
      </c>
      <c r="G50" s="21">
        <v>107</v>
      </c>
      <c r="H50" s="21" t="s">
        <v>249</v>
      </c>
      <c r="I50" s="21" t="s">
        <v>250</v>
      </c>
      <c r="J50" s="20" t="s">
        <v>251</v>
      </c>
      <c r="K50" s="20" t="s">
        <v>15</v>
      </c>
      <c r="L50" s="21" t="s">
        <v>539</v>
      </c>
      <c r="M50" s="21" t="s">
        <v>472</v>
      </c>
      <c r="N50" s="21" t="s">
        <v>70</v>
      </c>
      <c r="O50" s="21" t="s">
        <v>70</v>
      </c>
      <c r="P50" s="21" t="s">
        <v>70</v>
      </c>
      <c r="Q50" s="21" t="s">
        <v>50</v>
      </c>
      <c r="R50" s="21" t="s">
        <v>471</v>
      </c>
      <c r="S50" s="21" t="s">
        <v>52</v>
      </c>
      <c r="T50" s="21" t="s">
        <v>57</v>
      </c>
      <c r="U50" s="20" t="s">
        <v>561</v>
      </c>
      <c r="V50" s="21" t="s">
        <v>497</v>
      </c>
      <c r="W50" s="21" t="s">
        <v>89</v>
      </c>
      <c r="X50" s="20" t="s">
        <v>382</v>
      </c>
      <c r="Y50" s="25">
        <v>25.004000000000001</v>
      </c>
      <c r="Z50" s="20">
        <v>85</v>
      </c>
      <c r="AA50" s="26">
        <f t="shared" si="0"/>
        <v>0.29416470588235294</v>
      </c>
      <c r="AB50" s="20" t="s">
        <v>84</v>
      </c>
    </row>
    <row r="51" spans="1:28" s="20" customFormat="1" x14ac:dyDescent="0.25">
      <c r="A51" s="20">
        <v>1149</v>
      </c>
      <c r="B51" s="20" t="s">
        <v>252</v>
      </c>
      <c r="C51" s="20" t="s">
        <v>253</v>
      </c>
      <c r="D51" s="20" t="s">
        <v>26</v>
      </c>
      <c r="E51" s="20" t="s">
        <v>172</v>
      </c>
      <c r="F51" s="21">
        <v>2011</v>
      </c>
      <c r="G51" s="21">
        <v>1</v>
      </c>
      <c r="H51" s="21" t="s">
        <v>254</v>
      </c>
      <c r="I51" s="21" t="s">
        <v>255</v>
      </c>
      <c r="J51" s="21" t="s">
        <v>256</v>
      </c>
      <c r="K51" s="20" t="s">
        <v>15</v>
      </c>
      <c r="L51" s="21" t="s">
        <v>538</v>
      </c>
      <c r="M51" s="21" t="s">
        <v>70</v>
      </c>
      <c r="N51" s="21" t="s">
        <v>70</v>
      </c>
      <c r="O51" s="21" t="s">
        <v>70</v>
      </c>
      <c r="P51" s="21" t="s">
        <v>70</v>
      </c>
      <c r="Q51" s="21" t="s">
        <v>50</v>
      </c>
      <c r="R51" s="21" t="s">
        <v>471</v>
      </c>
      <c r="S51" s="21" t="s">
        <v>52</v>
      </c>
      <c r="T51" s="21" t="s">
        <v>57</v>
      </c>
      <c r="U51" s="20" t="s">
        <v>561</v>
      </c>
      <c r="V51" s="21" t="s">
        <v>480</v>
      </c>
      <c r="W51" s="21" t="s">
        <v>89</v>
      </c>
      <c r="X51" s="20" t="s">
        <v>55</v>
      </c>
      <c r="Y51" s="25">
        <v>0</v>
      </c>
      <c r="Z51" s="20">
        <v>115</v>
      </c>
      <c r="AA51" s="26">
        <f>Y51/Z51</f>
        <v>0</v>
      </c>
      <c r="AB51" s="20" t="s">
        <v>84</v>
      </c>
    </row>
    <row r="52" spans="1:28" s="20" customFormat="1" x14ac:dyDescent="0.25">
      <c r="A52" s="20">
        <v>1086</v>
      </c>
      <c r="B52" s="20" t="s">
        <v>21</v>
      </c>
      <c r="C52" s="20" t="s">
        <v>22</v>
      </c>
      <c r="E52" s="20" t="s">
        <v>23</v>
      </c>
      <c r="F52" s="21">
        <v>2014</v>
      </c>
      <c r="G52" s="21">
        <v>71</v>
      </c>
      <c r="H52" s="21">
        <v>4</v>
      </c>
      <c r="I52" s="21">
        <v>265</v>
      </c>
      <c r="J52" s="21">
        <v>269</v>
      </c>
      <c r="K52" s="20" t="s">
        <v>15</v>
      </c>
      <c r="L52" s="21" t="s">
        <v>537</v>
      </c>
      <c r="M52" s="20" t="s">
        <v>50</v>
      </c>
      <c r="N52" s="20" t="s">
        <v>109</v>
      </c>
      <c r="O52" s="20" t="s">
        <v>50</v>
      </c>
      <c r="P52" s="20" t="s">
        <v>50</v>
      </c>
      <c r="Q52" s="20" t="s">
        <v>50</v>
      </c>
      <c r="R52" s="20" t="s">
        <v>50</v>
      </c>
      <c r="S52" s="20" t="s">
        <v>52</v>
      </c>
      <c r="T52" s="20" t="s">
        <v>57</v>
      </c>
      <c r="U52" s="20" t="s">
        <v>561</v>
      </c>
      <c r="V52" s="20" t="s">
        <v>58</v>
      </c>
      <c r="W52" s="20" t="s">
        <v>89</v>
      </c>
      <c r="X52" s="20" t="s">
        <v>110</v>
      </c>
      <c r="Y52" s="20">
        <v>31</v>
      </c>
      <c r="Z52" s="20">
        <v>124</v>
      </c>
      <c r="AA52" s="26">
        <f t="shared" si="0"/>
        <v>0.25</v>
      </c>
      <c r="AB52" s="20" t="s">
        <v>73</v>
      </c>
    </row>
    <row r="53" spans="1:28" s="20" customFormat="1" x14ac:dyDescent="0.25">
      <c r="A53" s="20">
        <v>69</v>
      </c>
      <c r="B53" s="20" t="s">
        <v>166</v>
      </c>
      <c r="C53" s="20" t="s">
        <v>167</v>
      </c>
      <c r="D53" s="20" t="s">
        <v>26</v>
      </c>
      <c r="E53" s="20" t="s">
        <v>168</v>
      </c>
      <c r="F53" s="21">
        <v>2016</v>
      </c>
      <c r="G53" s="21">
        <v>10</v>
      </c>
      <c r="H53" s="21">
        <v>2</v>
      </c>
      <c r="I53" s="21">
        <v>26</v>
      </c>
      <c r="J53" s="21">
        <v>34</v>
      </c>
      <c r="K53" s="20" t="s">
        <v>15</v>
      </c>
      <c r="L53" s="20" t="s">
        <v>515</v>
      </c>
      <c r="M53" s="21" t="s">
        <v>270</v>
      </c>
      <c r="N53" s="21" t="s">
        <v>269</v>
      </c>
      <c r="O53" s="20" t="s">
        <v>50</v>
      </c>
      <c r="P53" s="20" t="s">
        <v>50</v>
      </c>
      <c r="Q53" s="20" t="s">
        <v>50</v>
      </c>
      <c r="R53" s="20" t="s">
        <v>51</v>
      </c>
      <c r="S53" s="20" t="s">
        <v>52</v>
      </c>
      <c r="T53" s="20" t="s">
        <v>57</v>
      </c>
      <c r="U53" s="20" t="s">
        <v>561</v>
      </c>
      <c r="V53" s="20" t="s">
        <v>273</v>
      </c>
      <c r="W53" s="20" t="s">
        <v>89</v>
      </c>
      <c r="X53" s="22" t="s">
        <v>271</v>
      </c>
      <c r="Y53" s="20">
        <v>28</v>
      </c>
      <c r="Z53" s="20">
        <v>76</v>
      </c>
      <c r="AA53" s="26">
        <f t="shared" si="0"/>
        <v>0.36842105263157893</v>
      </c>
      <c r="AB53" s="20" t="s">
        <v>84</v>
      </c>
    </row>
    <row r="54" spans="1:28" s="20" customFormat="1" x14ac:dyDescent="0.25">
      <c r="A54" s="20">
        <v>120</v>
      </c>
      <c r="B54" s="20" t="s">
        <v>173</v>
      </c>
      <c r="C54" s="20" t="s">
        <v>174</v>
      </c>
      <c r="D54" s="20" t="s">
        <v>175</v>
      </c>
      <c r="E54" s="20" t="s">
        <v>176</v>
      </c>
      <c r="F54" s="21">
        <v>2016</v>
      </c>
      <c r="G54" s="21">
        <v>71</v>
      </c>
      <c r="H54" s="21" t="s">
        <v>177</v>
      </c>
      <c r="I54" s="21">
        <v>194</v>
      </c>
      <c r="J54" s="21">
        <v>195</v>
      </c>
      <c r="K54" s="20" t="s">
        <v>15</v>
      </c>
      <c r="L54" s="24" t="s">
        <v>519</v>
      </c>
      <c r="M54" s="21" t="s">
        <v>70</v>
      </c>
      <c r="N54" s="21" t="s">
        <v>70</v>
      </c>
      <c r="O54" s="21" t="s">
        <v>70</v>
      </c>
      <c r="P54" s="21" t="s">
        <v>288</v>
      </c>
      <c r="Q54" s="20" t="s">
        <v>50</v>
      </c>
      <c r="R54" s="21" t="s">
        <v>289</v>
      </c>
      <c r="S54" s="20" t="s">
        <v>52</v>
      </c>
      <c r="T54" s="20" t="s">
        <v>57</v>
      </c>
      <c r="U54" s="20" t="s">
        <v>561</v>
      </c>
      <c r="V54" s="21" t="s">
        <v>290</v>
      </c>
      <c r="W54" s="21" t="s">
        <v>89</v>
      </c>
      <c r="X54" s="20" t="s">
        <v>291</v>
      </c>
      <c r="Y54" s="20">
        <v>5</v>
      </c>
      <c r="Z54" s="20">
        <v>29</v>
      </c>
      <c r="AA54" s="26">
        <f t="shared" si="0"/>
        <v>0.17241379310344829</v>
      </c>
      <c r="AB54" s="20" t="s">
        <v>84</v>
      </c>
    </row>
    <row r="55" spans="1:28" s="20" customFormat="1" x14ac:dyDescent="0.25">
      <c r="A55" s="20">
        <v>291</v>
      </c>
      <c r="B55" s="20" t="s">
        <v>188</v>
      </c>
      <c r="C55" s="20" t="s">
        <v>189</v>
      </c>
      <c r="D55" s="20" t="s">
        <v>26</v>
      </c>
      <c r="E55" s="20" t="s">
        <v>14</v>
      </c>
      <c r="F55" s="21">
        <v>2016</v>
      </c>
      <c r="G55" s="21">
        <v>63</v>
      </c>
      <c r="H55" s="21" t="s">
        <v>184</v>
      </c>
      <c r="I55" s="21">
        <v>147</v>
      </c>
      <c r="J55" s="21">
        <v>157</v>
      </c>
      <c r="K55" s="20" t="s">
        <v>15</v>
      </c>
      <c r="L55" s="20" t="s">
        <v>523</v>
      </c>
      <c r="M55" s="21" t="s">
        <v>50</v>
      </c>
      <c r="N55" s="21" t="s">
        <v>70</v>
      </c>
      <c r="O55" s="20" t="s">
        <v>50</v>
      </c>
      <c r="P55" s="20" t="s">
        <v>50</v>
      </c>
      <c r="Q55" s="20" t="s">
        <v>50</v>
      </c>
      <c r="R55" s="20" t="s">
        <v>50</v>
      </c>
      <c r="S55" s="21" t="s">
        <v>52</v>
      </c>
      <c r="T55" s="20" t="s">
        <v>57</v>
      </c>
      <c r="U55" s="20" t="s">
        <v>561</v>
      </c>
      <c r="V55" s="22" t="s">
        <v>346</v>
      </c>
      <c r="W55" s="21" t="s">
        <v>89</v>
      </c>
      <c r="X55" s="21" t="s">
        <v>338</v>
      </c>
      <c r="Y55" s="25">
        <f>16.6%*Z55</f>
        <v>31.042000000000002</v>
      </c>
      <c r="Z55" s="20">
        <v>187</v>
      </c>
      <c r="AA55" s="26">
        <f t="shared" si="0"/>
        <v>0.16600000000000001</v>
      </c>
      <c r="AB55" s="20" t="s">
        <v>347</v>
      </c>
    </row>
    <row r="56" spans="1:28" x14ac:dyDescent="0.25">
      <c r="A56" s="6">
        <v>596</v>
      </c>
      <c r="B56" s="6" t="s">
        <v>200</v>
      </c>
      <c r="C56" s="6" t="s">
        <v>201</v>
      </c>
      <c r="D56" s="6" t="s">
        <v>26</v>
      </c>
      <c r="E56" s="6" t="s">
        <v>202</v>
      </c>
      <c r="F56" s="7">
        <v>2016</v>
      </c>
      <c r="G56" s="7">
        <v>57</v>
      </c>
      <c r="H56" s="7" t="s">
        <v>184</v>
      </c>
      <c r="I56" s="7">
        <v>52</v>
      </c>
      <c r="J56" s="7">
        <v>59</v>
      </c>
      <c r="K56" s="6" t="s">
        <v>15</v>
      </c>
      <c r="L56" s="8" t="s">
        <v>526</v>
      </c>
      <c r="M56" s="8" t="s">
        <v>126</v>
      </c>
      <c r="N56" s="7" t="s">
        <v>50</v>
      </c>
      <c r="O56" s="7" t="s">
        <v>50</v>
      </c>
      <c r="P56" s="7" t="s">
        <v>50</v>
      </c>
      <c r="Q56" s="7" t="s">
        <v>50</v>
      </c>
      <c r="R56" s="8" t="s">
        <v>51</v>
      </c>
      <c r="S56" t="s">
        <v>52</v>
      </c>
      <c r="T56" s="8" t="s">
        <v>57</v>
      </c>
      <c r="U56" s="8" t="s">
        <v>563</v>
      </c>
      <c r="V56" s="11" t="s">
        <v>369</v>
      </c>
      <c r="W56" s="8" t="s">
        <v>89</v>
      </c>
      <c r="X56" t="s">
        <v>365</v>
      </c>
      <c r="Y56">
        <v>58</v>
      </c>
      <c r="Z56">
        <v>229</v>
      </c>
      <c r="AA56" s="19">
        <f t="shared" si="0"/>
        <v>0.25327510917030566</v>
      </c>
      <c r="AB56" t="s">
        <v>84</v>
      </c>
    </row>
    <row r="57" spans="1:28" x14ac:dyDescent="0.25">
      <c r="A57" s="6">
        <v>595</v>
      </c>
      <c r="B57" s="6" t="s">
        <v>198</v>
      </c>
      <c r="C57" s="6" t="s">
        <v>199</v>
      </c>
      <c r="D57" s="6" t="s">
        <v>26</v>
      </c>
      <c r="E57" s="6" t="s">
        <v>180</v>
      </c>
      <c r="F57" s="7">
        <v>2017</v>
      </c>
      <c r="G57" s="7">
        <v>15</v>
      </c>
      <c r="H57" s="7">
        <v>1</v>
      </c>
      <c r="I57" s="7">
        <v>1</v>
      </c>
      <c r="J57" s="7">
        <v>16</v>
      </c>
      <c r="K57" s="6" t="s">
        <v>15</v>
      </c>
      <c r="L57" s="8" t="s">
        <v>525</v>
      </c>
      <c r="M57" s="7" t="s">
        <v>357</v>
      </c>
      <c r="N57" s="7" t="s">
        <v>50</v>
      </c>
      <c r="O57" s="7" t="s">
        <v>50</v>
      </c>
      <c r="P57" s="7" t="s">
        <v>50</v>
      </c>
      <c r="Q57" s="7" t="s">
        <v>50</v>
      </c>
      <c r="R57" s="8" t="s">
        <v>51</v>
      </c>
      <c r="S57" t="s">
        <v>52</v>
      </c>
      <c r="T57" t="s">
        <v>57</v>
      </c>
      <c r="U57" s="8" t="s">
        <v>563</v>
      </c>
      <c r="V57" s="11" t="s">
        <v>361</v>
      </c>
      <c r="W57" t="s">
        <v>89</v>
      </c>
      <c r="X57" t="s">
        <v>364</v>
      </c>
      <c r="Y57">
        <v>6</v>
      </c>
      <c r="Z57">
        <v>75</v>
      </c>
      <c r="AA57" s="19">
        <f t="shared" si="0"/>
        <v>0.08</v>
      </c>
      <c r="AB57" t="s">
        <v>84</v>
      </c>
    </row>
    <row r="58" spans="1:28" x14ac:dyDescent="0.25">
      <c r="A58" s="6">
        <v>595</v>
      </c>
      <c r="B58" s="6" t="s">
        <v>198</v>
      </c>
      <c r="C58" s="6" t="s">
        <v>199</v>
      </c>
      <c r="D58" s="6" t="s">
        <v>26</v>
      </c>
      <c r="E58" s="6" t="s">
        <v>180</v>
      </c>
      <c r="F58" s="7">
        <v>2017</v>
      </c>
      <c r="G58" s="7">
        <v>15</v>
      </c>
      <c r="H58" s="7">
        <v>1</v>
      </c>
      <c r="I58" s="7">
        <v>1</v>
      </c>
      <c r="J58" s="7">
        <v>16</v>
      </c>
      <c r="K58" s="6" t="s">
        <v>15</v>
      </c>
      <c r="L58" s="8" t="s">
        <v>525</v>
      </c>
      <c r="M58" s="7" t="s">
        <v>357</v>
      </c>
      <c r="N58" s="7" t="s">
        <v>50</v>
      </c>
      <c r="O58" s="7" t="s">
        <v>50</v>
      </c>
      <c r="P58" s="7" t="s">
        <v>50</v>
      </c>
      <c r="Q58" s="7" t="s">
        <v>50</v>
      </c>
      <c r="R58" s="8" t="s">
        <v>51</v>
      </c>
      <c r="S58" t="s">
        <v>52</v>
      </c>
      <c r="T58" t="s">
        <v>57</v>
      </c>
      <c r="U58" s="8" t="s">
        <v>563</v>
      </c>
      <c r="V58" s="11" t="s">
        <v>361</v>
      </c>
      <c r="W58" t="s">
        <v>89</v>
      </c>
      <c r="X58" t="s">
        <v>363</v>
      </c>
      <c r="Y58">
        <v>35</v>
      </c>
      <c r="Z58">
        <v>110</v>
      </c>
      <c r="AA58" s="19">
        <f t="shared" si="0"/>
        <v>0.31818181818181818</v>
      </c>
      <c r="AB58" t="s">
        <v>84</v>
      </c>
    </row>
    <row r="59" spans="1:28" s="20" customFormat="1" x14ac:dyDescent="0.25">
      <c r="A59" s="20">
        <v>1148</v>
      </c>
      <c r="B59" s="20" t="s">
        <v>246</v>
      </c>
      <c r="C59" s="20" t="s">
        <v>247</v>
      </c>
      <c r="D59" s="20" t="s">
        <v>26</v>
      </c>
      <c r="E59" s="20" t="s">
        <v>248</v>
      </c>
      <c r="F59" s="21">
        <v>2007</v>
      </c>
      <c r="G59" s="21">
        <v>107</v>
      </c>
      <c r="H59" s="21" t="s">
        <v>249</v>
      </c>
      <c r="I59" s="21" t="s">
        <v>250</v>
      </c>
      <c r="J59" s="20" t="s">
        <v>251</v>
      </c>
      <c r="K59" s="20" t="s">
        <v>15</v>
      </c>
      <c r="L59" s="21" t="s">
        <v>539</v>
      </c>
      <c r="M59" s="21" t="s">
        <v>472</v>
      </c>
      <c r="N59" s="21" t="s">
        <v>70</v>
      </c>
      <c r="O59" s="21" t="s">
        <v>70</v>
      </c>
      <c r="P59" s="21" t="s">
        <v>70</v>
      </c>
      <c r="Q59" s="21" t="s">
        <v>50</v>
      </c>
      <c r="R59" s="21" t="s">
        <v>471</v>
      </c>
      <c r="S59" s="21" t="s">
        <v>52</v>
      </c>
      <c r="T59" s="21" t="s">
        <v>57</v>
      </c>
      <c r="U59" s="21" t="s">
        <v>566</v>
      </c>
      <c r="V59" s="21" t="s">
        <v>496</v>
      </c>
      <c r="W59" s="21" t="s">
        <v>89</v>
      </c>
      <c r="X59" s="20" t="s">
        <v>382</v>
      </c>
      <c r="Y59" s="25">
        <v>40.984000000000002</v>
      </c>
      <c r="Z59" s="20">
        <v>85</v>
      </c>
      <c r="AA59" s="26">
        <f t="shared" si="0"/>
        <v>0.48216470588235294</v>
      </c>
      <c r="AB59" s="20" t="s">
        <v>84</v>
      </c>
    </row>
    <row r="60" spans="1:28" s="20" customFormat="1" x14ac:dyDescent="0.25">
      <c r="A60" s="20">
        <v>1151</v>
      </c>
      <c r="B60" s="20" t="s">
        <v>257</v>
      </c>
      <c r="C60" s="20" t="s">
        <v>258</v>
      </c>
      <c r="D60" s="20" t="s">
        <v>259</v>
      </c>
      <c r="E60" s="20" t="s">
        <v>260</v>
      </c>
      <c r="F60" s="21">
        <v>2007</v>
      </c>
      <c r="G60" s="21"/>
      <c r="H60" s="21"/>
      <c r="I60" s="21"/>
      <c r="J60" s="21"/>
      <c r="K60" s="20" t="s">
        <v>15</v>
      </c>
      <c r="L60" s="21" t="s">
        <v>540</v>
      </c>
      <c r="M60" s="21" t="s">
        <v>70</v>
      </c>
      <c r="N60" s="21" t="s">
        <v>70</v>
      </c>
      <c r="O60" s="21" t="s">
        <v>50</v>
      </c>
      <c r="P60" s="21" t="s">
        <v>50</v>
      </c>
      <c r="Q60" s="21" t="s">
        <v>50</v>
      </c>
      <c r="R60" s="21" t="s">
        <v>51</v>
      </c>
      <c r="S60" s="21" t="s">
        <v>52</v>
      </c>
      <c r="T60" s="20" t="s">
        <v>57</v>
      </c>
      <c r="U60" s="21" t="s">
        <v>566</v>
      </c>
      <c r="V60" s="22" t="s">
        <v>482</v>
      </c>
      <c r="W60" s="21" t="s">
        <v>355</v>
      </c>
      <c r="X60" s="21" t="s">
        <v>356</v>
      </c>
      <c r="Y60" s="25">
        <v>20</v>
      </c>
      <c r="Z60" s="20">
        <v>82</v>
      </c>
      <c r="AA60" s="26">
        <f t="shared" si="0"/>
        <v>0.24390243902439024</v>
      </c>
      <c r="AB60" s="20" t="s">
        <v>84</v>
      </c>
    </row>
    <row r="61" spans="1:28" s="20" customFormat="1" x14ac:dyDescent="0.25">
      <c r="A61" s="20">
        <v>213</v>
      </c>
      <c r="B61" s="20" t="s">
        <v>28</v>
      </c>
      <c r="C61" s="20" t="s">
        <v>29</v>
      </c>
      <c r="D61" s="20" t="s">
        <v>26</v>
      </c>
      <c r="E61" s="20" t="s">
        <v>14</v>
      </c>
      <c r="F61" s="21">
        <v>2013</v>
      </c>
      <c r="G61" s="21">
        <v>31</v>
      </c>
      <c r="H61" s="21">
        <v>2</v>
      </c>
      <c r="I61" s="21">
        <v>474</v>
      </c>
      <c r="J61" s="21">
        <v>481</v>
      </c>
      <c r="K61" s="20" t="s">
        <v>15</v>
      </c>
      <c r="L61" s="20" t="s">
        <v>520</v>
      </c>
      <c r="M61" s="21" t="s">
        <v>92</v>
      </c>
      <c r="N61" s="20" t="s">
        <v>91</v>
      </c>
      <c r="O61" s="20" t="s">
        <v>50</v>
      </c>
      <c r="P61" s="20" t="s">
        <v>50</v>
      </c>
      <c r="Q61" s="20" t="s">
        <v>50</v>
      </c>
      <c r="R61" s="20" t="s">
        <v>51</v>
      </c>
      <c r="S61" s="20" t="s">
        <v>52</v>
      </c>
      <c r="T61" s="20" t="s">
        <v>57</v>
      </c>
      <c r="U61" s="21" t="s">
        <v>566</v>
      </c>
      <c r="V61" s="22" t="s">
        <v>106</v>
      </c>
      <c r="W61" s="20" t="s">
        <v>89</v>
      </c>
      <c r="X61" s="20" t="s">
        <v>121</v>
      </c>
      <c r="Y61" s="20">
        <v>151</v>
      </c>
      <c r="Z61" s="20">
        <f>174</f>
        <v>174</v>
      </c>
      <c r="AA61" s="26">
        <f t="shared" si="0"/>
        <v>0.86781609195402298</v>
      </c>
      <c r="AB61" s="20" t="s">
        <v>99</v>
      </c>
    </row>
    <row r="62" spans="1:28" s="20" customFormat="1" x14ac:dyDescent="0.25">
      <c r="A62" s="20">
        <v>923</v>
      </c>
      <c r="B62" s="20" t="s">
        <v>233</v>
      </c>
      <c r="C62" s="20" t="s">
        <v>234</v>
      </c>
      <c r="D62" s="20" t="s">
        <v>26</v>
      </c>
      <c r="E62" s="20" t="s">
        <v>235</v>
      </c>
      <c r="F62" s="21">
        <v>2015</v>
      </c>
      <c r="G62" s="21">
        <v>129</v>
      </c>
      <c r="H62" s="21">
        <v>9</v>
      </c>
      <c r="I62" s="21">
        <v>1278</v>
      </c>
      <c r="J62" s="21">
        <v>1284</v>
      </c>
      <c r="K62" s="20" t="s">
        <v>15</v>
      </c>
      <c r="L62" s="24" t="s">
        <v>534</v>
      </c>
      <c r="M62" s="21" t="s">
        <v>404</v>
      </c>
      <c r="N62" s="21" t="s">
        <v>50</v>
      </c>
      <c r="O62" s="21" t="s">
        <v>50</v>
      </c>
      <c r="P62" s="21" t="s">
        <v>50</v>
      </c>
      <c r="Q62" s="21" t="s">
        <v>50</v>
      </c>
      <c r="R62" s="21" t="s">
        <v>51</v>
      </c>
      <c r="S62" s="21" t="s">
        <v>52</v>
      </c>
      <c r="T62" s="21" t="s">
        <v>57</v>
      </c>
      <c r="U62" s="21" t="s">
        <v>566</v>
      </c>
      <c r="V62" s="21" t="s">
        <v>423</v>
      </c>
      <c r="W62" s="21" t="s">
        <v>89</v>
      </c>
      <c r="X62" s="21" t="s">
        <v>405</v>
      </c>
      <c r="Y62" s="20">
        <v>51</v>
      </c>
      <c r="Z62" s="20">
        <v>117</v>
      </c>
      <c r="AA62" s="26">
        <f t="shared" si="0"/>
        <v>0.4358974358974359</v>
      </c>
      <c r="AB62" s="20" t="s">
        <v>84</v>
      </c>
    </row>
    <row r="63" spans="1:28" s="20" customFormat="1" x14ac:dyDescent="0.25">
      <c r="A63" s="20">
        <v>291</v>
      </c>
      <c r="B63" s="20" t="s">
        <v>188</v>
      </c>
      <c r="C63" s="20" t="s">
        <v>189</v>
      </c>
      <c r="D63" s="20" t="s">
        <v>26</v>
      </c>
      <c r="E63" s="20" t="s">
        <v>14</v>
      </c>
      <c r="F63" s="21">
        <v>2016</v>
      </c>
      <c r="G63" s="21">
        <v>63</v>
      </c>
      <c r="H63" s="21" t="s">
        <v>184</v>
      </c>
      <c r="I63" s="21">
        <v>147</v>
      </c>
      <c r="J63" s="21">
        <v>157</v>
      </c>
      <c r="K63" s="20" t="s">
        <v>15</v>
      </c>
      <c r="L63" s="20" t="s">
        <v>523</v>
      </c>
      <c r="M63" s="21" t="s">
        <v>50</v>
      </c>
      <c r="N63" s="21" t="s">
        <v>70</v>
      </c>
      <c r="O63" s="20" t="s">
        <v>50</v>
      </c>
      <c r="P63" s="20" t="s">
        <v>50</v>
      </c>
      <c r="Q63" s="20" t="s">
        <v>50</v>
      </c>
      <c r="R63" s="20" t="s">
        <v>50</v>
      </c>
      <c r="S63" s="21" t="s">
        <v>52</v>
      </c>
      <c r="T63" s="20" t="s">
        <v>57</v>
      </c>
      <c r="U63" s="21" t="s">
        <v>566</v>
      </c>
      <c r="V63" s="22" t="s">
        <v>340</v>
      </c>
      <c r="W63" s="21" t="s">
        <v>89</v>
      </c>
      <c r="X63" s="21" t="s">
        <v>338</v>
      </c>
      <c r="Y63" s="25">
        <f>28%*Z63</f>
        <v>52.080000000000005</v>
      </c>
      <c r="Z63" s="20">
        <v>186</v>
      </c>
      <c r="AA63" s="26">
        <f t="shared" si="0"/>
        <v>0.28000000000000003</v>
      </c>
      <c r="AB63" s="20" t="s">
        <v>339</v>
      </c>
    </row>
  </sheetData>
  <autoFilter ref="A1:AB63"/>
  <sortState ref="A2:AM63">
    <sortCondition ref="U2:U63"/>
    <sortCondition ref="F2:F63"/>
  </sortState>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9"/>
  <sheetViews>
    <sheetView zoomScale="85" zoomScaleNormal="85" workbookViewId="0">
      <pane xSplit="2" ySplit="1" topLeftCell="O2" activePane="bottomRight" state="frozen"/>
      <selection pane="topRight" activeCell="C1" sqref="C1"/>
      <selection pane="bottomLeft" activeCell="A2" sqref="A2"/>
      <selection pane="bottomRight" activeCell="V19" sqref="V19"/>
    </sheetView>
  </sheetViews>
  <sheetFormatPr defaultRowHeight="15" x14ac:dyDescent="0.25"/>
  <cols>
    <col min="1" max="1" width="6.42578125" customWidth="1"/>
    <col min="2" max="2" width="15.5703125" customWidth="1"/>
    <col min="6" max="8" width="9.140625" style="8"/>
    <col min="9" max="9" width="10" style="8" customWidth="1"/>
    <col min="10" max="10" width="9.140625" style="8"/>
    <col min="11" max="11" width="4.5703125" customWidth="1"/>
    <col min="12" max="13" width="12.28515625" customWidth="1"/>
    <col min="14" max="14" width="12.7109375" customWidth="1"/>
    <col min="15" max="15" width="13.5703125" customWidth="1"/>
    <col min="16" max="16" width="13.140625" customWidth="1"/>
    <col min="17" max="17" width="9.85546875" customWidth="1"/>
    <col min="18" max="19" width="11.42578125" customWidth="1"/>
    <col min="20" max="20" width="15.5703125" customWidth="1"/>
    <col min="21" max="21" width="33.7109375" customWidth="1"/>
    <col min="22" max="22" width="36.140625" customWidth="1"/>
    <col min="23" max="23" width="11.7109375" customWidth="1"/>
    <col min="24" max="24" width="12.140625" customWidth="1"/>
    <col min="28" max="28" width="10.28515625" customWidth="1"/>
  </cols>
  <sheetData>
    <row r="1" spans="1:28" s="1" customFormat="1" x14ac:dyDescent="0.25">
      <c r="A1" s="4" t="s">
        <v>0</v>
      </c>
      <c r="B1" s="4" t="s">
        <v>2</v>
      </c>
      <c r="C1" s="4" t="s">
        <v>3</v>
      </c>
      <c r="D1" s="4" t="s">
        <v>4</v>
      </c>
      <c r="E1" s="4" t="s">
        <v>5</v>
      </c>
      <c r="F1" s="5" t="s">
        <v>6</v>
      </c>
      <c r="G1" s="5" t="s">
        <v>7</v>
      </c>
      <c r="H1" s="5" t="s">
        <v>8</v>
      </c>
      <c r="I1" s="5" t="s">
        <v>9</v>
      </c>
      <c r="J1" s="5" t="s">
        <v>10</v>
      </c>
      <c r="K1" s="4" t="s">
        <v>11</v>
      </c>
      <c r="L1" s="17" t="s">
        <v>504</v>
      </c>
      <c r="M1" s="2" t="s">
        <v>1</v>
      </c>
      <c r="N1" s="2" t="s">
        <v>30</v>
      </c>
      <c r="O1" s="2" t="s">
        <v>31</v>
      </c>
      <c r="P1" s="2" t="s">
        <v>32</v>
      </c>
      <c r="Q1" s="2" t="s">
        <v>33</v>
      </c>
      <c r="R1" s="2" t="s">
        <v>34</v>
      </c>
      <c r="S1" s="10" t="s">
        <v>47</v>
      </c>
      <c r="T1" s="10" t="s">
        <v>35</v>
      </c>
      <c r="U1" s="10" t="s">
        <v>503</v>
      </c>
      <c r="V1" s="1" t="s">
        <v>36</v>
      </c>
      <c r="W1" s="1" t="s">
        <v>37</v>
      </c>
      <c r="X1" s="1" t="s">
        <v>38</v>
      </c>
      <c r="Y1" s="1" t="s">
        <v>39</v>
      </c>
      <c r="Z1" s="1" t="s">
        <v>40</v>
      </c>
      <c r="AA1" s="1" t="s">
        <v>544</v>
      </c>
      <c r="AB1" s="1" t="s">
        <v>41</v>
      </c>
    </row>
    <row r="2" spans="1:28" x14ac:dyDescent="0.25">
      <c r="A2" s="6">
        <v>653</v>
      </c>
      <c r="B2" s="6" t="s">
        <v>209</v>
      </c>
      <c r="C2" s="6" t="s">
        <v>210</v>
      </c>
      <c r="D2" s="6" t="s">
        <v>26</v>
      </c>
      <c r="E2" s="6" t="s">
        <v>211</v>
      </c>
      <c r="F2" s="7">
        <v>2005</v>
      </c>
      <c r="G2" s="7">
        <v>4</v>
      </c>
      <c r="H2" s="7" t="s">
        <v>212</v>
      </c>
      <c r="I2" s="7">
        <v>63</v>
      </c>
      <c r="J2" s="7">
        <v>77</v>
      </c>
      <c r="K2" s="6" t="s">
        <v>15</v>
      </c>
      <c r="L2" s="8" t="s">
        <v>530</v>
      </c>
      <c r="M2" s="7" t="s">
        <v>379</v>
      </c>
      <c r="N2" s="7" t="s">
        <v>380</v>
      </c>
      <c r="O2" s="7" t="s">
        <v>50</v>
      </c>
      <c r="P2" s="7" t="s">
        <v>50</v>
      </c>
      <c r="Q2" s="7" t="s">
        <v>50</v>
      </c>
      <c r="R2" s="7" t="s">
        <v>51</v>
      </c>
      <c r="S2" t="s">
        <v>52</v>
      </c>
      <c r="T2" t="s">
        <v>156</v>
      </c>
      <c r="U2" s="6" t="s">
        <v>553</v>
      </c>
      <c r="V2" s="8" t="s">
        <v>384</v>
      </c>
      <c r="W2" s="8" t="s">
        <v>89</v>
      </c>
      <c r="X2" s="8" t="s">
        <v>382</v>
      </c>
      <c r="Y2" s="3">
        <f>33.3%*Z2</f>
        <v>9.3239999999999981</v>
      </c>
      <c r="Z2">
        <v>28</v>
      </c>
      <c r="AA2" s="15">
        <f t="shared" ref="AA2:AA29" si="0">Y2/Z2</f>
        <v>0.33299999999999991</v>
      </c>
      <c r="AB2" t="s">
        <v>84</v>
      </c>
    </row>
    <row r="3" spans="1:28" x14ac:dyDescent="0.25">
      <c r="A3" s="6">
        <v>157</v>
      </c>
      <c r="B3" s="6" t="s">
        <v>178</v>
      </c>
      <c r="C3" s="6" t="s">
        <v>179</v>
      </c>
      <c r="D3" s="6" t="s">
        <v>26</v>
      </c>
      <c r="E3" s="6" t="s">
        <v>180</v>
      </c>
      <c r="F3" s="7">
        <v>2009</v>
      </c>
      <c r="G3" s="7">
        <v>7</v>
      </c>
      <c r="H3" s="7">
        <v>4</v>
      </c>
      <c r="I3" s="7">
        <v>259</v>
      </c>
      <c r="J3" s="7">
        <v>284</v>
      </c>
      <c r="K3" s="6" t="s">
        <v>15</v>
      </c>
      <c r="L3" s="8" t="s">
        <v>506</v>
      </c>
      <c r="M3" s="7" t="s">
        <v>295</v>
      </c>
      <c r="N3" s="7" t="s">
        <v>70</v>
      </c>
      <c r="O3" t="s">
        <v>50</v>
      </c>
      <c r="P3" t="s">
        <v>50</v>
      </c>
      <c r="Q3" t="s">
        <v>50</v>
      </c>
      <c r="R3" s="8" t="s">
        <v>51</v>
      </c>
      <c r="S3" s="8" t="s">
        <v>52</v>
      </c>
      <c r="T3" s="8" t="s">
        <v>156</v>
      </c>
      <c r="U3" s="6" t="s">
        <v>553</v>
      </c>
      <c r="V3" s="8" t="s">
        <v>299</v>
      </c>
      <c r="W3" s="8" t="s">
        <v>89</v>
      </c>
      <c r="X3" s="8" t="s">
        <v>294</v>
      </c>
      <c r="Y3">
        <v>40</v>
      </c>
      <c r="Z3">
        <v>55</v>
      </c>
      <c r="AA3" s="15">
        <f t="shared" si="0"/>
        <v>0.72727272727272729</v>
      </c>
      <c r="AB3" t="s">
        <v>84</v>
      </c>
    </row>
    <row r="4" spans="1:28" x14ac:dyDescent="0.25">
      <c r="A4">
        <v>79</v>
      </c>
      <c r="B4" s="6" t="s">
        <v>12</v>
      </c>
      <c r="C4" s="6" t="s">
        <v>13</v>
      </c>
      <c r="D4" s="6"/>
      <c r="E4" s="6" t="s">
        <v>14</v>
      </c>
      <c r="F4" s="7">
        <v>2010</v>
      </c>
      <c r="G4" s="7">
        <v>21</v>
      </c>
      <c r="H4" s="7">
        <v>10</v>
      </c>
      <c r="I4" s="7">
        <v>1318</v>
      </c>
      <c r="J4" s="7">
        <v>1321</v>
      </c>
      <c r="K4" t="s">
        <v>15</v>
      </c>
      <c r="L4" s="9" t="s">
        <v>517</v>
      </c>
      <c r="M4" s="7" t="s">
        <v>69</v>
      </c>
      <c r="N4" t="s">
        <v>70</v>
      </c>
      <c r="O4" t="s">
        <v>50</v>
      </c>
      <c r="P4" t="s">
        <v>50</v>
      </c>
      <c r="Q4" t="s">
        <v>484</v>
      </c>
      <c r="R4" t="s">
        <v>51</v>
      </c>
      <c r="S4" t="s">
        <v>52</v>
      </c>
      <c r="T4" t="s">
        <v>156</v>
      </c>
      <c r="U4" s="6" t="s">
        <v>553</v>
      </c>
      <c r="V4" t="s">
        <v>72</v>
      </c>
      <c r="W4" t="s">
        <v>89</v>
      </c>
      <c r="X4" t="s">
        <v>120</v>
      </c>
      <c r="Y4">
        <v>4</v>
      </c>
      <c r="Z4">
        <v>74</v>
      </c>
      <c r="AA4" s="15">
        <f t="shared" si="0"/>
        <v>5.4054054054054057E-2</v>
      </c>
      <c r="AB4" t="s">
        <v>73</v>
      </c>
    </row>
    <row r="5" spans="1:28" x14ac:dyDescent="0.25">
      <c r="A5" s="6">
        <v>370</v>
      </c>
      <c r="B5" s="6" t="s">
        <v>190</v>
      </c>
      <c r="C5" s="6" t="s">
        <v>191</v>
      </c>
      <c r="D5" s="6" t="s">
        <v>175</v>
      </c>
      <c r="E5" s="6" t="s">
        <v>192</v>
      </c>
      <c r="F5" s="7">
        <v>2013</v>
      </c>
      <c r="G5" s="7">
        <v>45</v>
      </c>
      <c r="H5" s="7" t="s">
        <v>193</v>
      </c>
      <c r="I5" s="7" t="s">
        <v>194</v>
      </c>
      <c r="J5" s="7" t="s">
        <v>184</v>
      </c>
      <c r="K5" s="6" t="s">
        <v>15</v>
      </c>
      <c r="L5" s="8" t="s">
        <v>524</v>
      </c>
      <c r="M5" s="7" t="s">
        <v>348</v>
      </c>
      <c r="N5" s="7" t="s">
        <v>70</v>
      </c>
      <c r="O5" s="7" t="s">
        <v>51</v>
      </c>
      <c r="P5" s="7" t="s">
        <v>51</v>
      </c>
      <c r="Q5" t="s">
        <v>50</v>
      </c>
      <c r="R5" s="8" t="s">
        <v>349</v>
      </c>
      <c r="S5" s="8" t="s">
        <v>52</v>
      </c>
      <c r="T5" t="s">
        <v>156</v>
      </c>
      <c r="U5" s="6" t="s">
        <v>553</v>
      </c>
      <c r="V5" s="8" t="s">
        <v>352</v>
      </c>
      <c r="W5" s="8" t="s">
        <v>89</v>
      </c>
      <c r="X5" s="8" t="s">
        <v>351</v>
      </c>
      <c r="Y5">
        <v>13</v>
      </c>
      <c r="Z5">
        <v>20</v>
      </c>
      <c r="AA5" s="15">
        <f t="shared" si="0"/>
        <v>0.65</v>
      </c>
      <c r="AB5" t="s">
        <v>84</v>
      </c>
    </row>
    <row r="6" spans="1:28" x14ac:dyDescent="0.25">
      <c r="A6">
        <v>1086</v>
      </c>
      <c r="B6" s="6" t="s">
        <v>21</v>
      </c>
      <c r="C6" s="6" t="s">
        <v>22</v>
      </c>
      <c r="D6" s="6"/>
      <c r="E6" s="6" t="s">
        <v>23</v>
      </c>
      <c r="F6" s="7">
        <v>2014</v>
      </c>
      <c r="G6" s="7">
        <v>71</v>
      </c>
      <c r="H6" s="7">
        <v>4</v>
      </c>
      <c r="I6" s="7">
        <v>265</v>
      </c>
      <c r="J6" s="7">
        <v>269</v>
      </c>
      <c r="K6" t="s">
        <v>15</v>
      </c>
      <c r="L6" s="7" t="s">
        <v>537</v>
      </c>
      <c r="M6" t="s">
        <v>50</v>
      </c>
      <c r="N6" t="s">
        <v>109</v>
      </c>
      <c r="O6" t="s">
        <v>50</v>
      </c>
      <c r="P6" t="s">
        <v>50</v>
      </c>
      <c r="Q6" t="s">
        <v>50</v>
      </c>
      <c r="R6" t="s">
        <v>50</v>
      </c>
      <c r="S6" t="s">
        <v>52</v>
      </c>
      <c r="T6" t="s">
        <v>156</v>
      </c>
      <c r="U6" s="6" t="s">
        <v>553</v>
      </c>
      <c r="V6" t="s">
        <v>111</v>
      </c>
      <c r="W6" t="s">
        <v>89</v>
      </c>
      <c r="X6" t="s">
        <v>110</v>
      </c>
      <c r="Y6">
        <v>20</v>
      </c>
      <c r="Z6">
        <v>124</v>
      </c>
      <c r="AA6" s="15">
        <f t="shared" si="0"/>
        <v>0.16129032258064516</v>
      </c>
      <c r="AB6" t="s">
        <v>84</v>
      </c>
    </row>
    <row r="7" spans="1:28" x14ac:dyDescent="0.25">
      <c r="A7" s="6">
        <v>597</v>
      </c>
      <c r="B7" s="6" t="s">
        <v>122</v>
      </c>
      <c r="C7" s="6" t="s">
        <v>123</v>
      </c>
      <c r="D7" s="6" t="s">
        <v>26</v>
      </c>
      <c r="E7" s="6" t="s">
        <v>124</v>
      </c>
      <c r="F7" s="7">
        <v>2015</v>
      </c>
      <c r="G7" s="7">
        <v>18</v>
      </c>
      <c r="H7" s="7">
        <v>5</v>
      </c>
      <c r="I7" s="7">
        <v>454</v>
      </c>
      <c r="J7" s="7">
        <v>469</v>
      </c>
      <c r="K7" t="s">
        <v>15</v>
      </c>
      <c r="L7" s="8" t="s">
        <v>527</v>
      </c>
      <c r="M7" t="s">
        <v>126</v>
      </c>
      <c r="N7" t="s">
        <v>125</v>
      </c>
      <c r="O7" t="s">
        <v>50</v>
      </c>
      <c r="P7" t="s">
        <v>50</v>
      </c>
      <c r="Q7" t="s">
        <v>50</v>
      </c>
      <c r="R7" t="s">
        <v>51</v>
      </c>
      <c r="S7" t="s">
        <v>52</v>
      </c>
      <c r="T7" t="s">
        <v>156</v>
      </c>
      <c r="U7" s="6" t="s">
        <v>553</v>
      </c>
      <c r="V7" t="s">
        <v>155</v>
      </c>
      <c r="W7" s="8" t="s">
        <v>89</v>
      </c>
      <c r="X7" t="s">
        <v>127</v>
      </c>
      <c r="Y7">
        <v>76</v>
      </c>
      <c r="Z7">
        <v>110</v>
      </c>
      <c r="AA7" s="15">
        <f t="shared" si="0"/>
        <v>0.69090909090909092</v>
      </c>
      <c r="AB7" t="s">
        <v>84</v>
      </c>
    </row>
    <row r="8" spans="1:28" x14ac:dyDescent="0.25">
      <c r="A8" s="6">
        <v>923</v>
      </c>
      <c r="B8" s="6" t="s">
        <v>233</v>
      </c>
      <c r="C8" s="6" t="s">
        <v>234</v>
      </c>
      <c r="D8" s="6" t="s">
        <v>26</v>
      </c>
      <c r="E8" s="6" t="s">
        <v>235</v>
      </c>
      <c r="F8" s="7">
        <v>2015</v>
      </c>
      <c r="G8" s="7">
        <v>129</v>
      </c>
      <c r="H8" s="7">
        <v>9</v>
      </c>
      <c r="I8" s="7">
        <v>1278</v>
      </c>
      <c r="J8" s="7">
        <v>1284</v>
      </c>
      <c r="K8" s="6" t="s">
        <v>15</v>
      </c>
      <c r="L8" s="9" t="s">
        <v>534</v>
      </c>
      <c r="M8" s="7" t="s">
        <v>404</v>
      </c>
      <c r="N8" s="7" t="s">
        <v>50</v>
      </c>
      <c r="O8" s="7" t="s">
        <v>50</v>
      </c>
      <c r="P8" s="7" t="s">
        <v>50</v>
      </c>
      <c r="Q8" s="7" t="s">
        <v>50</v>
      </c>
      <c r="R8" s="8" t="s">
        <v>51</v>
      </c>
      <c r="S8" s="7" t="s">
        <v>52</v>
      </c>
      <c r="T8" s="8" t="s">
        <v>156</v>
      </c>
      <c r="U8" s="6" t="s">
        <v>553</v>
      </c>
      <c r="V8" s="8" t="s">
        <v>420</v>
      </c>
      <c r="W8" s="8" t="s">
        <v>89</v>
      </c>
      <c r="X8" s="8" t="s">
        <v>405</v>
      </c>
      <c r="Y8">
        <v>41</v>
      </c>
      <c r="Z8">
        <v>117</v>
      </c>
      <c r="AA8" s="15">
        <f t="shared" si="0"/>
        <v>0.3504273504273504</v>
      </c>
      <c r="AB8" t="s">
        <v>84</v>
      </c>
    </row>
    <row r="9" spans="1:28" x14ac:dyDescent="0.25">
      <c r="A9" s="6">
        <v>69</v>
      </c>
      <c r="B9" s="6" t="s">
        <v>166</v>
      </c>
      <c r="C9" s="6" t="s">
        <v>167</v>
      </c>
      <c r="D9" s="6" t="s">
        <v>26</v>
      </c>
      <c r="E9" s="6" t="s">
        <v>168</v>
      </c>
      <c r="F9" s="7">
        <v>2016</v>
      </c>
      <c r="G9" s="7">
        <v>10</v>
      </c>
      <c r="H9" s="7">
        <v>2</v>
      </c>
      <c r="I9" s="7">
        <v>26</v>
      </c>
      <c r="J9" s="7">
        <v>34</v>
      </c>
      <c r="K9" s="6" t="s">
        <v>15</v>
      </c>
      <c r="L9" s="6" t="s">
        <v>515</v>
      </c>
      <c r="M9" s="7" t="s">
        <v>270</v>
      </c>
      <c r="N9" s="7" t="s">
        <v>269</v>
      </c>
      <c r="O9" t="s">
        <v>50</v>
      </c>
      <c r="P9" t="s">
        <v>50</v>
      </c>
      <c r="Q9" t="s">
        <v>50</v>
      </c>
      <c r="R9" t="s">
        <v>51</v>
      </c>
      <c r="S9" t="s">
        <v>52</v>
      </c>
      <c r="T9" t="s">
        <v>156</v>
      </c>
      <c r="U9" s="6" t="s">
        <v>553</v>
      </c>
      <c r="V9" t="s">
        <v>276</v>
      </c>
      <c r="W9" t="s">
        <v>89</v>
      </c>
      <c r="X9" s="11" t="s">
        <v>271</v>
      </c>
      <c r="Y9">
        <v>72</v>
      </c>
      <c r="Z9">
        <v>76</v>
      </c>
      <c r="AA9" s="15">
        <f t="shared" si="0"/>
        <v>0.94736842105263153</v>
      </c>
      <c r="AB9" t="s">
        <v>84</v>
      </c>
    </row>
    <row r="10" spans="1:28" x14ac:dyDescent="0.25">
      <c r="A10" s="6">
        <v>595</v>
      </c>
      <c r="B10" s="6" t="s">
        <v>198</v>
      </c>
      <c r="C10" s="6" t="s">
        <v>199</v>
      </c>
      <c r="D10" s="6" t="s">
        <v>26</v>
      </c>
      <c r="E10" s="6" t="s">
        <v>180</v>
      </c>
      <c r="F10" s="7">
        <v>2017</v>
      </c>
      <c r="G10" s="7">
        <v>15</v>
      </c>
      <c r="H10" s="7">
        <v>1</v>
      </c>
      <c r="I10" s="7">
        <v>1</v>
      </c>
      <c r="J10" s="7">
        <v>16</v>
      </c>
      <c r="K10" s="6" t="s">
        <v>15</v>
      </c>
      <c r="L10" s="8" t="s">
        <v>525</v>
      </c>
      <c r="M10" s="7" t="s">
        <v>357</v>
      </c>
      <c r="N10" s="7" t="s">
        <v>50</v>
      </c>
      <c r="O10" s="7" t="s">
        <v>50</v>
      </c>
      <c r="P10" s="7" t="s">
        <v>50</v>
      </c>
      <c r="Q10" s="7" t="s">
        <v>50</v>
      </c>
      <c r="R10" s="8" t="s">
        <v>51</v>
      </c>
      <c r="S10" t="s">
        <v>52</v>
      </c>
      <c r="T10" t="s">
        <v>156</v>
      </c>
      <c r="U10" s="6" t="s">
        <v>553</v>
      </c>
      <c r="V10" t="s">
        <v>155</v>
      </c>
      <c r="W10" t="s">
        <v>89</v>
      </c>
      <c r="X10" t="s">
        <v>364</v>
      </c>
      <c r="Y10">
        <v>27</v>
      </c>
      <c r="Z10">
        <v>75</v>
      </c>
      <c r="AA10" s="15">
        <f t="shared" si="0"/>
        <v>0.36</v>
      </c>
      <c r="AB10" t="s">
        <v>84</v>
      </c>
    </row>
    <row r="11" spans="1:28" s="20" customFormat="1" x14ac:dyDescent="0.25">
      <c r="A11" s="20">
        <v>77</v>
      </c>
      <c r="B11" s="20" t="s">
        <v>24</v>
      </c>
      <c r="C11" s="20" t="s">
        <v>25</v>
      </c>
      <c r="D11" s="20" t="s">
        <v>26</v>
      </c>
      <c r="E11" s="20" t="s">
        <v>27</v>
      </c>
      <c r="F11" s="21">
        <v>2007</v>
      </c>
      <c r="G11" s="21">
        <v>98</v>
      </c>
      <c r="H11" s="21">
        <v>4</v>
      </c>
      <c r="I11" s="21">
        <v>344</v>
      </c>
      <c r="J11" s="21">
        <v>348</v>
      </c>
      <c r="K11" s="20" t="s">
        <v>15</v>
      </c>
      <c r="L11" s="20" t="s">
        <v>516</v>
      </c>
      <c r="M11" s="20" t="s">
        <v>49</v>
      </c>
      <c r="N11" s="20" t="s">
        <v>48</v>
      </c>
      <c r="O11" s="20" t="s">
        <v>50</v>
      </c>
      <c r="P11" s="20" t="s">
        <v>50</v>
      </c>
      <c r="Q11" s="20" t="s">
        <v>50</v>
      </c>
      <c r="R11" s="20" t="s">
        <v>51</v>
      </c>
      <c r="S11" s="20" t="s">
        <v>52</v>
      </c>
      <c r="T11" s="20" t="s">
        <v>156</v>
      </c>
      <c r="U11" s="20" t="s">
        <v>554</v>
      </c>
      <c r="V11" s="20" t="s">
        <v>54</v>
      </c>
      <c r="W11" s="20" t="s">
        <v>89</v>
      </c>
      <c r="X11" s="20" t="s">
        <v>119</v>
      </c>
      <c r="Y11" s="20">
        <v>42</v>
      </c>
      <c r="Z11" s="20">
        <v>100</v>
      </c>
      <c r="AA11" s="23">
        <f t="shared" si="0"/>
        <v>0.42</v>
      </c>
      <c r="AB11" s="20" t="s">
        <v>56</v>
      </c>
    </row>
    <row r="12" spans="1:28" s="20" customFormat="1" x14ac:dyDescent="0.25">
      <c r="A12" s="20">
        <v>116</v>
      </c>
      <c r="B12" s="20" t="s">
        <v>169</v>
      </c>
      <c r="C12" s="20" t="s">
        <v>170</v>
      </c>
      <c r="E12" s="20" t="s">
        <v>171</v>
      </c>
      <c r="F12" s="21">
        <v>2011</v>
      </c>
      <c r="G12" s="21">
        <v>41</v>
      </c>
      <c r="H12" s="21">
        <v>5</v>
      </c>
      <c r="I12" s="21">
        <v>713</v>
      </c>
      <c r="J12" s="21">
        <v>717</v>
      </c>
      <c r="K12" s="20" t="s">
        <v>15</v>
      </c>
      <c r="L12" s="24" t="s">
        <v>518</v>
      </c>
      <c r="M12" s="21" t="s">
        <v>50</v>
      </c>
      <c r="N12" s="21" t="s">
        <v>277</v>
      </c>
      <c r="O12" s="20" t="s">
        <v>50</v>
      </c>
      <c r="P12" s="20" t="s">
        <v>50</v>
      </c>
      <c r="Q12" s="20" t="s">
        <v>50</v>
      </c>
      <c r="R12" s="20" t="s">
        <v>50</v>
      </c>
      <c r="S12" s="20" t="s">
        <v>52</v>
      </c>
      <c r="T12" s="20" t="s">
        <v>156</v>
      </c>
      <c r="U12" s="20" t="s">
        <v>554</v>
      </c>
      <c r="V12" s="21" t="s">
        <v>279</v>
      </c>
      <c r="W12" s="20" t="s">
        <v>89</v>
      </c>
      <c r="X12" s="22" t="s">
        <v>278</v>
      </c>
      <c r="Y12" s="20">
        <v>30</v>
      </c>
      <c r="Z12" s="20">
        <v>90</v>
      </c>
      <c r="AA12" s="23">
        <f t="shared" si="0"/>
        <v>0.33333333333333331</v>
      </c>
      <c r="AB12" s="20" t="s">
        <v>84</v>
      </c>
    </row>
    <row r="13" spans="1:28" s="20" customFormat="1" x14ac:dyDescent="0.25">
      <c r="A13" s="20">
        <v>1149</v>
      </c>
      <c r="B13" s="20" t="s">
        <v>252</v>
      </c>
      <c r="C13" s="20" t="s">
        <v>253</v>
      </c>
      <c r="D13" s="20" t="s">
        <v>26</v>
      </c>
      <c r="E13" s="20" t="s">
        <v>172</v>
      </c>
      <c r="F13" s="21">
        <v>2011</v>
      </c>
      <c r="G13" s="21">
        <v>1</v>
      </c>
      <c r="H13" s="21" t="s">
        <v>254</v>
      </c>
      <c r="I13" s="21" t="s">
        <v>255</v>
      </c>
      <c r="J13" s="21" t="s">
        <v>256</v>
      </c>
      <c r="K13" s="20" t="s">
        <v>15</v>
      </c>
      <c r="L13" s="21" t="s">
        <v>538</v>
      </c>
      <c r="M13" s="21" t="s">
        <v>70</v>
      </c>
      <c r="N13" s="21" t="s">
        <v>70</v>
      </c>
      <c r="O13" s="21" t="s">
        <v>70</v>
      </c>
      <c r="P13" s="21" t="s">
        <v>70</v>
      </c>
      <c r="Q13" s="21" t="s">
        <v>50</v>
      </c>
      <c r="R13" s="21" t="s">
        <v>471</v>
      </c>
      <c r="S13" s="21" t="s">
        <v>52</v>
      </c>
      <c r="T13" s="21" t="s">
        <v>156</v>
      </c>
      <c r="U13" s="20" t="s">
        <v>554</v>
      </c>
      <c r="V13" s="21" t="s">
        <v>474</v>
      </c>
      <c r="W13" s="21" t="s">
        <v>89</v>
      </c>
      <c r="X13" s="20" t="s">
        <v>55</v>
      </c>
      <c r="Y13" s="25">
        <f>26%*Z13</f>
        <v>29.900000000000002</v>
      </c>
      <c r="Z13" s="20">
        <v>115</v>
      </c>
      <c r="AA13" s="23">
        <f t="shared" si="0"/>
        <v>0.26</v>
      </c>
      <c r="AB13" s="20" t="s">
        <v>84</v>
      </c>
    </row>
    <row r="14" spans="1:28" s="20" customFormat="1" x14ac:dyDescent="0.25">
      <c r="A14" s="20">
        <v>213</v>
      </c>
      <c r="B14" s="20" t="s">
        <v>28</v>
      </c>
      <c r="C14" s="20" t="s">
        <v>29</v>
      </c>
      <c r="D14" s="20" t="s">
        <v>26</v>
      </c>
      <c r="E14" s="20" t="s">
        <v>14</v>
      </c>
      <c r="F14" s="21">
        <v>2013</v>
      </c>
      <c r="G14" s="21">
        <v>31</v>
      </c>
      <c r="H14" s="21">
        <v>2</v>
      </c>
      <c r="I14" s="21">
        <v>474</v>
      </c>
      <c r="J14" s="21">
        <v>481</v>
      </c>
      <c r="K14" s="20" t="s">
        <v>15</v>
      </c>
      <c r="L14" s="20" t="s">
        <v>520</v>
      </c>
      <c r="M14" s="21" t="s">
        <v>92</v>
      </c>
      <c r="N14" s="20" t="s">
        <v>91</v>
      </c>
      <c r="O14" s="20" t="s">
        <v>50</v>
      </c>
      <c r="P14" s="20" t="s">
        <v>50</v>
      </c>
      <c r="Q14" s="20" t="s">
        <v>50</v>
      </c>
      <c r="R14" s="20" t="s">
        <v>51</v>
      </c>
      <c r="S14" s="20" t="s">
        <v>52</v>
      </c>
      <c r="T14" s="20" t="s">
        <v>156</v>
      </c>
      <c r="U14" s="20" t="s">
        <v>554</v>
      </c>
      <c r="V14" s="22" t="s">
        <v>108</v>
      </c>
      <c r="W14" s="20" t="s">
        <v>89</v>
      </c>
      <c r="X14" s="20" t="s">
        <v>121</v>
      </c>
      <c r="Y14" s="20">
        <v>59</v>
      </c>
      <c r="Z14" s="20">
        <f>59+134</f>
        <v>193</v>
      </c>
      <c r="AA14" s="23">
        <f t="shared" si="0"/>
        <v>0.30569948186528495</v>
      </c>
      <c r="AB14" s="20" t="s">
        <v>84</v>
      </c>
    </row>
    <row r="15" spans="1:28" s="20" customFormat="1" x14ac:dyDescent="0.25">
      <c r="A15" s="20">
        <v>229</v>
      </c>
      <c r="B15" s="20" t="s">
        <v>181</v>
      </c>
      <c r="C15" s="20" t="s">
        <v>182</v>
      </c>
      <c r="D15" s="20" t="s">
        <v>26</v>
      </c>
      <c r="E15" s="20" t="s">
        <v>183</v>
      </c>
      <c r="F15" s="21">
        <v>2013</v>
      </c>
      <c r="G15" s="21">
        <v>4</v>
      </c>
      <c r="H15" s="21">
        <v>4</v>
      </c>
      <c r="I15" s="21">
        <v>1000140</v>
      </c>
      <c r="J15" s="21" t="s">
        <v>184</v>
      </c>
      <c r="K15" s="20" t="s">
        <v>15</v>
      </c>
      <c r="L15" s="20" t="s">
        <v>521</v>
      </c>
      <c r="M15" s="21" t="s">
        <v>50</v>
      </c>
      <c r="N15" s="21" t="s">
        <v>70</v>
      </c>
      <c r="O15" s="20" t="s">
        <v>50</v>
      </c>
      <c r="P15" s="20" t="s">
        <v>50</v>
      </c>
      <c r="Q15" s="20" t="s">
        <v>50</v>
      </c>
      <c r="R15" s="20" t="s">
        <v>50</v>
      </c>
      <c r="S15" s="21" t="s">
        <v>52</v>
      </c>
      <c r="T15" s="21" t="s">
        <v>156</v>
      </c>
      <c r="U15" s="20" t="s">
        <v>554</v>
      </c>
      <c r="V15" s="21" t="s">
        <v>304</v>
      </c>
      <c r="W15" s="21" t="s">
        <v>89</v>
      </c>
      <c r="X15" s="21" t="s">
        <v>303</v>
      </c>
      <c r="Y15" s="25">
        <f>15%*Z15</f>
        <v>6</v>
      </c>
      <c r="Z15" s="20">
        <v>40</v>
      </c>
      <c r="AA15" s="23">
        <f t="shared" si="0"/>
        <v>0.15</v>
      </c>
      <c r="AB15" s="20" t="s">
        <v>84</v>
      </c>
    </row>
    <row r="16" spans="1:28" s="20" customFormat="1" x14ac:dyDescent="0.25">
      <c r="A16" s="20">
        <v>1086</v>
      </c>
      <c r="B16" s="20" t="s">
        <v>21</v>
      </c>
      <c r="C16" s="20" t="s">
        <v>22</v>
      </c>
      <c r="E16" s="20" t="s">
        <v>23</v>
      </c>
      <c r="F16" s="21">
        <v>2014</v>
      </c>
      <c r="G16" s="21">
        <v>71</v>
      </c>
      <c r="H16" s="21">
        <v>4</v>
      </c>
      <c r="I16" s="21">
        <v>265</v>
      </c>
      <c r="J16" s="21">
        <v>269</v>
      </c>
      <c r="K16" s="20" t="s">
        <v>15</v>
      </c>
      <c r="L16" s="21" t="s">
        <v>537</v>
      </c>
      <c r="M16" s="20" t="s">
        <v>50</v>
      </c>
      <c r="N16" s="20" t="s">
        <v>109</v>
      </c>
      <c r="O16" s="20" t="s">
        <v>50</v>
      </c>
      <c r="P16" s="20" t="s">
        <v>50</v>
      </c>
      <c r="Q16" s="20" t="s">
        <v>50</v>
      </c>
      <c r="R16" s="20" t="s">
        <v>50</v>
      </c>
      <c r="S16" s="20" t="s">
        <v>52</v>
      </c>
      <c r="T16" s="20" t="s">
        <v>156</v>
      </c>
      <c r="U16" s="20" t="s">
        <v>554</v>
      </c>
      <c r="V16" s="20" t="s">
        <v>54</v>
      </c>
      <c r="W16" s="20" t="s">
        <v>89</v>
      </c>
      <c r="X16" s="20" t="s">
        <v>110</v>
      </c>
      <c r="Y16" s="20">
        <v>31</v>
      </c>
      <c r="Z16" s="20">
        <v>124</v>
      </c>
      <c r="AA16" s="23">
        <f t="shared" si="0"/>
        <v>0.25</v>
      </c>
      <c r="AB16" s="20" t="s">
        <v>84</v>
      </c>
    </row>
    <row r="17" spans="1:28" s="20" customFormat="1" x14ac:dyDescent="0.25">
      <c r="A17" s="20">
        <v>951</v>
      </c>
      <c r="B17" s="20" t="s">
        <v>236</v>
      </c>
      <c r="C17" s="20" t="s">
        <v>237</v>
      </c>
      <c r="D17" s="20" t="s">
        <v>26</v>
      </c>
      <c r="E17" s="20" t="s">
        <v>238</v>
      </c>
      <c r="F17" s="21">
        <v>2015</v>
      </c>
      <c r="G17" s="21">
        <v>5</v>
      </c>
      <c r="H17" s="21">
        <v>2</v>
      </c>
      <c r="I17" s="21">
        <v>157</v>
      </c>
      <c r="J17" s="21">
        <v>161</v>
      </c>
      <c r="K17" s="20" t="s">
        <v>15</v>
      </c>
      <c r="L17" s="21" t="s">
        <v>535</v>
      </c>
      <c r="M17" s="21" t="s">
        <v>50</v>
      </c>
      <c r="N17" s="21" t="s">
        <v>70</v>
      </c>
      <c r="O17" s="21" t="s">
        <v>50</v>
      </c>
      <c r="P17" s="21" t="s">
        <v>50</v>
      </c>
      <c r="Q17" s="21" t="s">
        <v>50</v>
      </c>
      <c r="R17" s="21" t="s">
        <v>50</v>
      </c>
      <c r="S17" s="21" t="s">
        <v>52</v>
      </c>
      <c r="T17" s="21" t="s">
        <v>156</v>
      </c>
      <c r="U17" s="20" t="s">
        <v>554</v>
      </c>
      <c r="V17" s="21" t="s">
        <v>442</v>
      </c>
      <c r="W17" s="21" t="s">
        <v>89</v>
      </c>
      <c r="X17" s="21" t="s">
        <v>441</v>
      </c>
      <c r="Y17" s="20">
        <v>60</v>
      </c>
      <c r="Z17" s="20">
        <v>351</v>
      </c>
      <c r="AA17" s="23">
        <f t="shared" si="0"/>
        <v>0.17094017094017094</v>
      </c>
      <c r="AB17" s="20" t="s">
        <v>84</v>
      </c>
    </row>
    <row r="18" spans="1:28" s="20" customFormat="1" x14ac:dyDescent="0.25">
      <c r="A18" s="20">
        <v>596</v>
      </c>
      <c r="B18" s="20" t="s">
        <v>200</v>
      </c>
      <c r="C18" s="20" t="s">
        <v>201</v>
      </c>
      <c r="D18" s="20" t="s">
        <v>26</v>
      </c>
      <c r="E18" s="20" t="s">
        <v>202</v>
      </c>
      <c r="F18" s="21">
        <v>2016</v>
      </c>
      <c r="G18" s="21">
        <v>57</v>
      </c>
      <c r="H18" s="21" t="s">
        <v>184</v>
      </c>
      <c r="I18" s="21">
        <v>52</v>
      </c>
      <c r="J18" s="21">
        <v>59</v>
      </c>
      <c r="K18" s="20" t="s">
        <v>15</v>
      </c>
      <c r="L18" s="21" t="s">
        <v>526</v>
      </c>
      <c r="M18" s="21" t="s">
        <v>126</v>
      </c>
      <c r="N18" s="21" t="s">
        <v>50</v>
      </c>
      <c r="O18" s="21" t="s">
        <v>50</v>
      </c>
      <c r="P18" s="21" t="s">
        <v>50</v>
      </c>
      <c r="Q18" s="21" t="s">
        <v>50</v>
      </c>
      <c r="R18" s="21" t="s">
        <v>51</v>
      </c>
      <c r="S18" s="20" t="s">
        <v>52</v>
      </c>
      <c r="T18" s="20" t="s">
        <v>156</v>
      </c>
      <c r="U18" s="20" t="s">
        <v>554</v>
      </c>
      <c r="V18" s="20" t="s">
        <v>362</v>
      </c>
      <c r="W18" s="21" t="s">
        <v>89</v>
      </c>
      <c r="X18" s="20" t="s">
        <v>365</v>
      </c>
      <c r="Y18" s="20">
        <v>84</v>
      </c>
      <c r="Z18" s="20">
        <v>229</v>
      </c>
      <c r="AA18" s="23">
        <f t="shared" si="0"/>
        <v>0.36681222707423583</v>
      </c>
      <c r="AB18" s="20" t="s">
        <v>84</v>
      </c>
    </row>
    <row r="19" spans="1:28" s="20" customFormat="1" x14ac:dyDescent="0.25">
      <c r="A19" s="20">
        <v>832</v>
      </c>
      <c r="B19" s="20" t="s">
        <v>225</v>
      </c>
      <c r="C19" s="20" t="s">
        <v>226</v>
      </c>
      <c r="D19" s="20" t="s">
        <v>26</v>
      </c>
      <c r="E19" s="20" t="s">
        <v>227</v>
      </c>
      <c r="F19" s="21">
        <v>2016</v>
      </c>
      <c r="G19" s="21">
        <v>79</v>
      </c>
      <c r="H19" s="21">
        <v>9</v>
      </c>
      <c r="I19" s="21">
        <v>1588</v>
      </c>
      <c r="J19" s="21">
        <v>1598</v>
      </c>
      <c r="K19" s="20" t="s">
        <v>15</v>
      </c>
      <c r="L19" s="21" t="s">
        <v>531</v>
      </c>
      <c r="M19" s="20" t="s">
        <v>495</v>
      </c>
      <c r="N19" s="21" t="s">
        <v>70</v>
      </c>
      <c r="O19" s="21" t="s">
        <v>50</v>
      </c>
      <c r="P19" s="21" t="s">
        <v>50</v>
      </c>
      <c r="Q19" s="21" t="s">
        <v>50</v>
      </c>
      <c r="R19" s="21" t="s">
        <v>51</v>
      </c>
      <c r="S19" s="20" t="s">
        <v>52</v>
      </c>
      <c r="T19" s="21" t="s">
        <v>156</v>
      </c>
      <c r="U19" s="20" t="s">
        <v>554</v>
      </c>
      <c r="V19" s="21" t="s">
        <v>395</v>
      </c>
      <c r="W19" s="21" t="s">
        <v>89</v>
      </c>
      <c r="X19" s="21" t="s">
        <v>493</v>
      </c>
      <c r="Y19" s="20">
        <f>123+86+52</f>
        <v>261</v>
      </c>
      <c r="Z19" s="20">
        <f>275+209+155</f>
        <v>639</v>
      </c>
      <c r="AA19" s="23">
        <f t="shared" si="0"/>
        <v>0.40845070422535212</v>
      </c>
      <c r="AB19" s="20" t="s">
        <v>84</v>
      </c>
    </row>
    <row r="20" spans="1:28" s="20" customFormat="1" x14ac:dyDescent="0.25">
      <c r="A20" s="20">
        <v>595</v>
      </c>
      <c r="B20" s="20" t="s">
        <v>198</v>
      </c>
      <c r="C20" s="20" t="s">
        <v>199</v>
      </c>
      <c r="D20" s="20" t="s">
        <v>26</v>
      </c>
      <c r="E20" s="20" t="s">
        <v>180</v>
      </c>
      <c r="F20" s="21">
        <v>2017</v>
      </c>
      <c r="G20" s="21">
        <v>15</v>
      </c>
      <c r="H20" s="21">
        <v>1</v>
      </c>
      <c r="I20" s="21">
        <v>1</v>
      </c>
      <c r="J20" s="21">
        <v>16</v>
      </c>
      <c r="K20" s="20" t="s">
        <v>15</v>
      </c>
      <c r="L20" s="21" t="s">
        <v>525</v>
      </c>
      <c r="M20" s="21" t="s">
        <v>357</v>
      </c>
      <c r="N20" s="21" t="s">
        <v>50</v>
      </c>
      <c r="O20" s="21" t="s">
        <v>50</v>
      </c>
      <c r="P20" s="21" t="s">
        <v>50</v>
      </c>
      <c r="Q20" s="21" t="s">
        <v>50</v>
      </c>
      <c r="R20" s="21" t="s">
        <v>51</v>
      </c>
      <c r="S20" s="20" t="s">
        <v>52</v>
      </c>
      <c r="T20" s="20" t="s">
        <v>156</v>
      </c>
      <c r="U20" s="20" t="s">
        <v>554</v>
      </c>
      <c r="V20" s="20" t="s">
        <v>362</v>
      </c>
      <c r="W20" s="20" t="s">
        <v>89</v>
      </c>
      <c r="X20" s="20" t="s">
        <v>364</v>
      </c>
      <c r="Y20" s="20">
        <v>37</v>
      </c>
      <c r="Z20" s="20">
        <v>75</v>
      </c>
      <c r="AA20" s="23">
        <f t="shared" si="0"/>
        <v>0.49333333333333335</v>
      </c>
      <c r="AB20" s="20" t="s">
        <v>84</v>
      </c>
    </row>
    <row r="21" spans="1:28" s="20" customFormat="1" x14ac:dyDescent="0.25">
      <c r="A21" s="20">
        <v>595</v>
      </c>
      <c r="B21" s="20" t="s">
        <v>198</v>
      </c>
      <c r="C21" s="20" t="s">
        <v>199</v>
      </c>
      <c r="D21" s="20" t="s">
        <v>26</v>
      </c>
      <c r="E21" s="20" t="s">
        <v>180</v>
      </c>
      <c r="F21" s="21">
        <v>2017</v>
      </c>
      <c r="G21" s="21">
        <v>15</v>
      </c>
      <c r="H21" s="21">
        <v>1</v>
      </c>
      <c r="I21" s="21">
        <v>1</v>
      </c>
      <c r="J21" s="21">
        <v>16</v>
      </c>
      <c r="K21" s="20" t="s">
        <v>15</v>
      </c>
      <c r="L21" s="21" t="s">
        <v>525</v>
      </c>
      <c r="M21" s="21" t="s">
        <v>357</v>
      </c>
      <c r="N21" s="21" t="s">
        <v>50</v>
      </c>
      <c r="O21" s="21" t="s">
        <v>50</v>
      </c>
      <c r="P21" s="21" t="s">
        <v>50</v>
      </c>
      <c r="Q21" s="21" t="s">
        <v>50</v>
      </c>
      <c r="R21" s="21" t="s">
        <v>51</v>
      </c>
      <c r="S21" s="20" t="s">
        <v>52</v>
      </c>
      <c r="T21" s="20" t="s">
        <v>156</v>
      </c>
      <c r="U21" s="20" t="s">
        <v>554</v>
      </c>
      <c r="V21" s="20" t="s">
        <v>362</v>
      </c>
      <c r="W21" s="20" t="s">
        <v>89</v>
      </c>
      <c r="X21" s="20" t="s">
        <v>363</v>
      </c>
      <c r="Y21" s="20">
        <v>87</v>
      </c>
      <c r="Z21" s="20">
        <v>110</v>
      </c>
      <c r="AA21" s="23">
        <f t="shared" si="0"/>
        <v>0.79090909090909089</v>
      </c>
      <c r="AB21" s="20" t="s">
        <v>84</v>
      </c>
    </row>
    <row r="22" spans="1:28" s="20" customFormat="1" x14ac:dyDescent="0.25">
      <c r="A22" s="20">
        <v>1080</v>
      </c>
      <c r="B22" s="20" t="s">
        <v>239</v>
      </c>
      <c r="C22" s="20" t="s">
        <v>240</v>
      </c>
      <c r="D22" s="20" t="s">
        <v>26</v>
      </c>
      <c r="E22" s="20" t="s">
        <v>202</v>
      </c>
      <c r="F22" s="21">
        <v>2017</v>
      </c>
      <c r="G22" s="21">
        <v>64</v>
      </c>
      <c r="H22" s="21" t="s">
        <v>184</v>
      </c>
      <c r="I22" s="21">
        <v>11</v>
      </c>
      <c r="J22" s="21">
        <v>20</v>
      </c>
      <c r="K22" s="20" t="s">
        <v>15</v>
      </c>
      <c r="L22" s="21" t="s">
        <v>536</v>
      </c>
      <c r="M22" s="21" t="s">
        <v>50</v>
      </c>
      <c r="N22" s="21" t="s">
        <v>50</v>
      </c>
      <c r="O22" s="21" t="s">
        <v>50</v>
      </c>
      <c r="P22" s="21" t="s">
        <v>50</v>
      </c>
      <c r="Q22" s="21" t="s">
        <v>50</v>
      </c>
      <c r="R22" s="21" t="s">
        <v>50</v>
      </c>
      <c r="S22" s="21" t="s">
        <v>52</v>
      </c>
      <c r="T22" s="21" t="s">
        <v>156</v>
      </c>
      <c r="U22" s="20" t="s">
        <v>554</v>
      </c>
      <c r="V22" s="21" t="s">
        <v>466</v>
      </c>
      <c r="W22" s="21" t="s">
        <v>89</v>
      </c>
      <c r="X22" s="20" t="s">
        <v>394</v>
      </c>
      <c r="Y22" s="20">
        <v>144</v>
      </c>
      <c r="Z22" s="20">
        <v>316</v>
      </c>
      <c r="AA22" s="23">
        <f t="shared" si="0"/>
        <v>0.45569620253164556</v>
      </c>
      <c r="AB22" s="20" t="s">
        <v>84</v>
      </c>
    </row>
    <row r="23" spans="1:28" x14ac:dyDescent="0.25">
      <c r="A23" s="6">
        <v>77</v>
      </c>
      <c r="B23" s="6" t="s">
        <v>24</v>
      </c>
      <c r="C23" s="6" t="s">
        <v>25</v>
      </c>
      <c r="D23" s="6" t="s">
        <v>26</v>
      </c>
      <c r="E23" s="6" t="s">
        <v>27</v>
      </c>
      <c r="F23" s="7">
        <v>2007</v>
      </c>
      <c r="G23" s="7">
        <v>98</v>
      </c>
      <c r="H23" s="7">
        <v>4</v>
      </c>
      <c r="I23" s="7">
        <v>344</v>
      </c>
      <c r="J23" s="7">
        <v>348</v>
      </c>
      <c r="K23" t="s">
        <v>15</v>
      </c>
      <c r="L23" t="s">
        <v>516</v>
      </c>
      <c r="M23" t="s">
        <v>49</v>
      </c>
      <c r="N23" t="s">
        <v>48</v>
      </c>
      <c r="O23" t="s">
        <v>50</v>
      </c>
      <c r="P23" t="s">
        <v>50</v>
      </c>
      <c r="Q23" t="s">
        <v>50</v>
      </c>
      <c r="R23" t="s">
        <v>51</v>
      </c>
      <c r="S23" t="s">
        <v>52</v>
      </c>
      <c r="T23" t="s">
        <v>156</v>
      </c>
      <c r="U23" t="s">
        <v>555</v>
      </c>
      <c r="V23" t="s">
        <v>485</v>
      </c>
      <c r="W23" t="s">
        <v>89</v>
      </c>
      <c r="X23" t="s">
        <v>119</v>
      </c>
      <c r="Y23">
        <v>61</v>
      </c>
      <c r="Z23">
        <v>100</v>
      </c>
      <c r="AA23" s="15">
        <f t="shared" si="0"/>
        <v>0.61</v>
      </c>
      <c r="AB23" t="s">
        <v>56</v>
      </c>
    </row>
    <row r="24" spans="1:28" x14ac:dyDescent="0.25">
      <c r="A24">
        <v>116</v>
      </c>
      <c r="B24" s="6" t="s">
        <v>169</v>
      </c>
      <c r="C24" s="6" t="s">
        <v>170</v>
      </c>
      <c r="D24" s="6"/>
      <c r="E24" s="6" t="s">
        <v>171</v>
      </c>
      <c r="F24" s="7">
        <v>2011</v>
      </c>
      <c r="G24" s="7">
        <v>41</v>
      </c>
      <c r="H24" s="7">
        <v>5</v>
      </c>
      <c r="I24" s="7">
        <v>713</v>
      </c>
      <c r="J24" s="7">
        <v>717</v>
      </c>
      <c r="K24" s="6" t="s">
        <v>15</v>
      </c>
      <c r="L24" s="9" t="s">
        <v>518</v>
      </c>
      <c r="M24" s="7" t="s">
        <v>50</v>
      </c>
      <c r="N24" s="7" t="s">
        <v>277</v>
      </c>
      <c r="O24" t="s">
        <v>50</v>
      </c>
      <c r="P24" t="s">
        <v>50</v>
      </c>
      <c r="Q24" t="s">
        <v>50</v>
      </c>
      <c r="R24" t="s">
        <v>50</v>
      </c>
      <c r="S24" t="s">
        <v>52</v>
      </c>
      <c r="T24" t="s">
        <v>156</v>
      </c>
      <c r="U24" t="s">
        <v>555</v>
      </c>
      <c r="V24" s="8" t="s">
        <v>492</v>
      </c>
      <c r="W24" t="s">
        <v>89</v>
      </c>
      <c r="X24" s="11" t="s">
        <v>278</v>
      </c>
      <c r="Y24">
        <v>43</v>
      </c>
      <c r="Z24">
        <v>90</v>
      </c>
      <c r="AA24" s="15">
        <f t="shared" si="0"/>
        <v>0.4777777777777778</v>
      </c>
      <c r="AB24" t="s">
        <v>84</v>
      </c>
    </row>
    <row r="25" spans="1:28" x14ac:dyDescent="0.25">
      <c r="A25" s="6">
        <v>213</v>
      </c>
      <c r="B25" s="6" t="s">
        <v>28</v>
      </c>
      <c r="C25" s="6" t="s">
        <v>29</v>
      </c>
      <c r="D25" s="6" t="s">
        <v>26</v>
      </c>
      <c r="E25" s="6" t="s">
        <v>14</v>
      </c>
      <c r="F25" s="7">
        <v>2013</v>
      </c>
      <c r="G25" s="7">
        <v>31</v>
      </c>
      <c r="H25" s="7">
        <v>2</v>
      </c>
      <c r="I25" s="7">
        <v>474</v>
      </c>
      <c r="J25" s="7">
        <v>481</v>
      </c>
      <c r="K25" t="s">
        <v>15</v>
      </c>
      <c r="L25" t="s">
        <v>520</v>
      </c>
      <c r="M25" s="7" t="s">
        <v>92</v>
      </c>
      <c r="N25" t="s">
        <v>91</v>
      </c>
      <c r="O25" t="s">
        <v>50</v>
      </c>
      <c r="P25" t="s">
        <v>50</v>
      </c>
      <c r="Q25" t="s">
        <v>50</v>
      </c>
      <c r="R25" t="s">
        <v>51</v>
      </c>
      <c r="S25" t="s">
        <v>52</v>
      </c>
      <c r="T25" t="s">
        <v>156</v>
      </c>
      <c r="U25" t="s">
        <v>555</v>
      </c>
      <c r="V25" s="11" t="s">
        <v>487</v>
      </c>
      <c r="W25" t="s">
        <v>89</v>
      </c>
      <c r="X25" t="s">
        <v>121</v>
      </c>
      <c r="Y25">
        <f>42+69</f>
        <v>111</v>
      </c>
      <c r="Z25">
        <f>193</f>
        <v>193</v>
      </c>
      <c r="AA25" s="15">
        <f t="shared" si="0"/>
        <v>0.57512953367875652</v>
      </c>
      <c r="AB25" t="s">
        <v>556</v>
      </c>
    </row>
    <row r="26" spans="1:28" x14ac:dyDescent="0.25">
      <c r="A26">
        <v>1086</v>
      </c>
      <c r="B26" s="6" t="s">
        <v>21</v>
      </c>
      <c r="C26" s="6" t="s">
        <v>22</v>
      </c>
      <c r="D26" s="6"/>
      <c r="E26" s="6" t="s">
        <v>23</v>
      </c>
      <c r="F26" s="7">
        <v>2014</v>
      </c>
      <c r="G26" s="7">
        <v>71</v>
      </c>
      <c r="H26" s="7">
        <v>4</v>
      </c>
      <c r="I26" s="7">
        <v>265</v>
      </c>
      <c r="J26" s="7">
        <v>269</v>
      </c>
      <c r="K26" t="s">
        <v>15</v>
      </c>
      <c r="L26" s="7" t="s">
        <v>537</v>
      </c>
      <c r="M26" t="s">
        <v>50</v>
      </c>
      <c r="N26" t="s">
        <v>109</v>
      </c>
      <c r="O26" t="s">
        <v>50</v>
      </c>
      <c r="P26" t="s">
        <v>50</v>
      </c>
      <c r="Q26" t="s">
        <v>50</v>
      </c>
      <c r="R26" t="s">
        <v>50</v>
      </c>
      <c r="S26" t="s">
        <v>52</v>
      </c>
      <c r="T26" t="s">
        <v>156</v>
      </c>
      <c r="U26" t="s">
        <v>555</v>
      </c>
      <c r="V26" t="s">
        <v>486</v>
      </c>
      <c r="W26" t="s">
        <v>89</v>
      </c>
      <c r="X26" t="s">
        <v>110</v>
      </c>
      <c r="Y26">
        <v>95</v>
      </c>
      <c r="Z26">
        <v>124</v>
      </c>
      <c r="AA26" s="15">
        <f t="shared" si="0"/>
        <v>0.7661290322580645</v>
      </c>
      <c r="AB26" t="s">
        <v>84</v>
      </c>
    </row>
    <row r="27" spans="1:28" x14ac:dyDescent="0.25">
      <c r="A27" s="6">
        <v>951</v>
      </c>
      <c r="B27" s="6" t="s">
        <v>236</v>
      </c>
      <c r="C27" s="6" t="s">
        <v>237</v>
      </c>
      <c r="D27" s="6" t="s">
        <v>26</v>
      </c>
      <c r="E27" s="6" t="s">
        <v>238</v>
      </c>
      <c r="F27" s="7">
        <v>2015</v>
      </c>
      <c r="G27" s="7">
        <v>5</v>
      </c>
      <c r="H27" s="7">
        <v>2</v>
      </c>
      <c r="I27" s="7">
        <v>157</v>
      </c>
      <c r="J27" s="7">
        <v>161</v>
      </c>
      <c r="K27" s="6" t="s">
        <v>15</v>
      </c>
      <c r="L27" s="8" t="s">
        <v>535</v>
      </c>
      <c r="M27" s="7" t="s">
        <v>50</v>
      </c>
      <c r="N27" s="7" t="s">
        <v>70</v>
      </c>
      <c r="O27" s="7" t="s">
        <v>50</v>
      </c>
      <c r="P27" s="7" t="s">
        <v>50</v>
      </c>
      <c r="Q27" s="7" t="s">
        <v>50</v>
      </c>
      <c r="R27" s="7" t="s">
        <v>50</v>
      </c>
      <c r="S27" s="7" t="s">
        <v>52</v>
      </c>
      <c r="T27" s="8" t="s">
        <v>156</v>
      </c>
      <c r="U27" t="s">
        <v>555</v>
      </c>
      <c r="V27" s="8" t="s">
        <v>491</v>
      </c>
      <c r="W27" s="8" t="s">
        <v>89</v>
      </c>
      <c r="X27" s="8" t="s">
        <v>441</v>
      </c>
      <c r="Y27">
        <v>269</v>
      </c>
      <c r="Z27">
        <v>351</v>
      </c>
      <c r="AA27" s="15">
        <f t="shared" si="0"/>
        <v>0.76638176638176636</v>
      </c>
      <c r="AB27" t="s">
        <v>84</v>
      </c>
    </row>
    <row r="28" spans="1:28" x14ac:dyDescent="0.25">
      <c r="A28" s="6">
        <v>291</v>
      </c>
      <c r="B28" s="6" t="s">
        <v>188</v>
      </c>
      <c r="C28" s="6" t="s">
        <v>189</v>
      </c>
      <c r="D28" s="6" t="s">
        <v>26</v>
      </c>
      <c r="E28" s="6" t="s">
        <v>14</v>
      </c>
      <c r="F28" s="7">
        <v>2016</v>
      </c>
      <c r="G28" s="7">
        <v>63</v>
      </c>
      <c r="H28" s="7" t="s">
        <v>184</v>
      </c>
      <c r="I28" s="7">
        <v>147</v>
      </c>
      <c r="J28" s="7">
        <v>157</v>
      </c>
      <c r="K28" s="6" t="s">
        <v>15</v>
      </c>
      <c r="L28" t="s">
        <v>523</v>
      </c>
      <c r="M28" s="7" t="s">
        <v>50</v>
      </c>
      <c r="N28" s="7" t="s">
        <v>70</v>
      </c>
      <c r="O28" t="s">
        <v>50</v>
      </c>
      <c r="P28" t="s">
        <v>50</v>
      </c>
      <c r="Q28" t="s">
        <v>50</v>
      </c>
      <c r="R28" t="s">
        <v>50</v>
      </c>
      <c r="S28" s="8" t="s">
        <v>52</v>
      </c>
      <c r="T28" t="s">
        <v>156</v>
      </c>
      <c r="U28" t="s">
        <v>555</v>
      </c>
      <c r="V28" s="11" t="s">
        <v>488</v>
      </c>
      <c r="W28" s="8" t="s">
        <v>89</v>
      </c>
      <c r="X28" s="8" t="s">
        <v>338</v>
      </c>
      <c r="Y28" s="3">
        <f>59.9%*Z28</f>
        <v>106.023</v>
      </c>
      <c r="Z28" s="3">
        <v>177</v>
      </c>
      <c r="AA28" s="15">
        <f t="shared" si="0"/>
        <v>0.59899999999999998</v>
      </c>
      <c r="AB28" t="s">
        <v>489</v>
      </c>
    </row>
    <row r="29" spans="1:28" x14ac:dyDescent="0.25">
      <c r="A29" s="6">
        <v>596</v>
      </c>
      <c r="B29" s="6" t="s">
        <v>200</v>
      </c>
      <c r="C29" s="6" t="s">
        <v>201</v>
      </c>
      <c r="D29" s="6" t="s">
        <v>26</v>
      </c>
      <c r="E29" s="6" t="s">
        <v>202</v>
      </c>
      <c r="F29" s="7">
        <v>2016</v>
      </c>
      <c r="G29" s="7">
        <v>57</v>
      </c>
      <c r="H29" s="7" t="s">
        <v>184</v>
      </c>
      <c r="I29" s="7">
        <v>52</v>
      </c>
      <c r="J29" s="7">
        <v>59</v>
      </c>
      <c r="K29" s="6" t="s">
        <v>15</v>
      </c>
      <c r="L29" s="8" t="s">
        <v>526</v>
      </c>
      <c r="M29" s="8" t="s">
        <v>126</v>
      </c>
      <c r="N29" s="7" t="s">
        <v>50</v>
      </c>
      <c r="O29" s="7" t="s">
        <v>50</v>
      </c>
      <c r="P29" s="7" t="s">
        <v>50</v>
      </c>
      <c r="Q29" s="7" t="s">
        <v>50</v>
      </c>
      <c r="R29" s="8" t="s">
        <v>51</v>
      </c>
      <c r="S29" t="s">
        <v>52</v>
      </c>
      <c r="T29" t="s">
        <v>156</v>
      </c>
      <c r="U29" t="s">
        <v>555</v>
      </c>
      <c r="V29" t="s">
        <v>490</v>
      </c>
      <c r="W29" s="8" t="s">
        <v>89</v>
      </c>
      <c r="X29" t="s">
        <v>365</v>
      </c>
      <c r="Y29">
        <v>183</v>
      </c>
      <c r="Z29">
        <v>229</v>
      </c>
      <c r="AA29" s="15">
        <f t="shared" si="0"/>
        <v>0.79912663755458513</v>
      </c>
      <c r="AB29" t="s">
        <v>84</v>
      </c>
    </row>
  </sheetData>
  <autoFilter ref="A1:AB29"/>
  <sortState ref="A2:AN29">
    <sortCondition ref="U2:U29"/>
    <sortCondition ref="F2:F29"/>
  </sortState>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55"/>
  <sheetViews>
    <sheetView zoomScale="85" zoomScaleNormal="85" workbookViewId="0">
      <pane xSplit="2" ySplit="1" topLeftCell="C2" activePane="bottomRight" state="frozen"/>
      <selection pane="topRight" activeCell="C1" sqref="C1"/>
      <selection pane="bottomLeft" activeCell="A2" sqref="A2"/>
      <selection pane="bottomRight" activeCell="Y1" sqref="Y1:AA1048576"/>
    </sheetView>
  </sheetViews>
  <sheetFormatPr defaultRowHeight="15" x14ac:dyDescent="0.25"/>
  <cols>
    <col min="1" max="1" width="6.42578125" customWidth="1"/>
    <col min="2" max="2" width="15.5703125" customWidth="1"/>
    <col min="6" max="8" width="9.140625" style="8"/>
    <col min="9" max="9" width="10" style="8" customWidth="1"/>
    <col min="10" max="10" width="9.140625" style="8"/>
    <col min="11" max="11" width="4.5703125" customWidth="1"/>
    <col min="12" max="13" width="12.28515625" customWidth="1"/>
    <col min="14" max="14" width="12.7109375" customWidth="1"/>
    <col min="15" max="15" width="13.5703125" customWidth="1"/>
    <col min="16" max="16" width="13.140625" customWidth="1"/>
    <col min="17" max="17" width="9.85546875" customWidth="1"/>
    <col min="18" max="19" width="11.42578125" customWidth="1"/>
    <col min="20" max="20" width="14.7109375" customWidth="1"/>
    <col min="21" max="21" width="41.5703125" customWidth="1"/>
    <col min="22" max="22" width="37.28515625" customWidth="1"/>
    <col min="23" max="23" width="11.7109375" customWidth="1"/>
    <col min="24" max="24" width="12.140625" customWidth="1"/>
    <col min="28" max="28" width="10.28515625" customWidth="1"/>
    <col min="29" max="29" width="12" customWidth="1"/>
    <col min="30" max="30" width="8.85546875" customWidth="1"/>
    <col min="31" max="31" width="12" customWidth="1"/>
    <col min="33" max="33" width="7.140625" customWidth="1"/>
    <col min="36" max="36" width="7.85546875" customWidth="1"/>
  </cols>
  <sheetData>
    <row r="1" spans="1:41" s="1" customFormat="1" x14ac:dyDescent="0.25">
      <c r="A1" s="4" t="s">
        <v>0</v>
      </c>
      <c r="B1" s="4" t="s">
        <v>2</v>
      </c>
      <c r="C1" s="4" t="s">
        <v>3</v>
      </c>
      <c r="D1" s="4" t="s">
        <v>4</v>
      </c>
      <c r="E1" s="4" t="s">
        <v>5</v>
      </c>
      <c r="F1" s="5" t="s">
        <v>6</v>
      </c>
      <c r="G1" s="5" t="s">
        <v>7</v>
      </c>
      <c r="H1" s="5" t="s">
        <v>8</v>
      </c>
      <c r="I1" s="5" t="s">
        <v>9</v>
      </c>
      <c r="J1" s="5" t="s">
        <v>10</v>
      </c>
      <c r="K1" s="4" t="s">
        <v>11</v>
      </c>
      <c r="L1" s="17" t="s">
        <v>504</v>
      </c>
      <c r="M1" s="2" t="s">
        <v>1</v>
      </c>
      <c r="N1" s="2" t="s">
        <v>30</v>
      </c>
      <c r="O1" s="2" t="s">
        <v>31</v>
      </c>
      <c r="P1" s="2" t="s">
        <v>32</v>
      </c>
      <c r="Q1" s="2" t="s">
        <v>33</v>
      </c>
      <c r="R1" s="2" t="s">
        <v>34</v>
      </c>
      <c r="S1" s="10" t="s">
        <v>47</v>
      </c>
      <c r="T1" s="10" t="s">
        <v>35</v>
      </c>
      <c r="U1" s="10" t="s">
        <v>503</v>
      </c>
      <c r="V1" s="1" t="s">
        <v>36</v>
      </c>
      <c r="W1" s="1" t="s">
        <v>37</v>
      </c>
      <c r="X1" s="1" t="s">
        <v>38</v>
      </c>
      <c r="Y1" s="1" t="s">
        <v>39</v>
      </c>
      <c r="Z1" s="1" t="s">
        <v>40</v>
      </c>
      <c r="AA1" s="1" t="s">
        <v>544</v>
      </c>
      <c r="AB1" s="1" t="s">
        <v>41</v>
      </c>
      <c r="AC1" s="1" t="s">
        <v>43</v>
      </c>
      <c r="AD1" s="1" t="s">
        <v>545</v>
      </c>
      <c r="AE1" s="1" t="s">
        <v>100</v>
      </c>
      <c r="AF1" s="1" t="s">
        <v>44</v>
      </c>
      <c r="AG1" s="1" t="s">
        <v>546</v>
      </c>
      <c r="AH1" s="1" t="s">
        <v>101</v>
      </c>
      <c r="AI1" s="1" t="s">
        <v>45</v>
      </c>
      <c r="AJ1" s="1" t="s">
        <v>547</v>
      </c>
      <c r="AK1" s="1" t="s">
        <v>102</v>
      </c>
      <c r="AL1" s="1" t="s">
        <v>46</v>
      </c>
      <c r="AN1" s="1" t="s">
        <v>103</v>
      </c>
      <c r="AO1" s="1" t="s">
        <v>42</v>
      </c>
    </row>
    <row r="2" spans="1:41" x14ac:dyDescent="0.25">
      <c r="A2" s="6">
        <v>77</v>
      </c>
      <c r="B2" s="6" t="s">
        <v>24</v>
      </c>
      <c r="C2" s="6" t="s">
        <v>25</v>
      </c>
      <c r="D2" s="6" t="s">
        <v>26</v>
      </c>
      <c r="E2" s="6" t="s">
        <v>27</v>
      </c>
      <c r="F2" s="7">
        <v>2007</v>
      </c>
      <c r="G2" s="7">
        <v>98</v>
      </c>
      <c r="H2" s="7">
        <v>4</v>
      </c>
      <c r="I2" s="7">
        <v>344</v>
      </c>
      <c r="J2" s="7">
        <v>348</v>
      </c>
      <c r="K2" t="s">
        <v>15</v>
      </c>
      <c r="L2" t="s">
        <v>516</v>
      </c>
      <c r="M2" t="s">
        <v>49</v>
      </c>
      <c r="N2" t="s">
        <v>48</v>
      </c>
      <c r="O2" t="s">
        <v>50</v>
      </c>
      <c r="P2" t="s">
        <v>50</v>
      </c>
      <c r="Q2" t="s">
        <v>50</v>
      </c>
      <c r="R2" t="s">
        <v>51</v>
      </c>
      <c r="S2" t="s">
        <v>52</v>
      </c>
      <c r="T2" t="s">
        <v>312</v>
      </c>
      <c r="U2" t="s">
        <v>542</v>
      </c>
      <c r="V2" t="s">
        <v>318</v>
      </c>
      <c r="W2" t="s">
        <v>89</v>
      </c>
      <c r="X2" t="s">
        <v>119</v>
      </c>
      <c r="Y2">
        <v>67</v>
      </c>
      <c r="Z2">
        <v>98</v>
      </c>
      <c r="AA2" s="15">
        <f t="shared" ref="AA2:AA12" si="0">Y2/Z2</f>
        <v>0.68367346938775508</v>
      </c>
      <c r="AB2" t="s">
        <v>319</v>
      </c>
    </row>
    <row r="3" spans="1:41" x14ac:dyDescent="0.25">
      <c r="A3">
        <v>116</v>
      </c>
      <c r="B3" s="6" t="s">
        <v>169</v>
      </c>
      <c r="C3" s="6" t="s">
        <v>170</v>
      </c>
      <c r="D3" s="6"/>
      <c r="E3" s="6" t="s">
        <v>171</v>
      </c>
      <c r="F3" s="7">
        <v>2011</v>
      </c>
      <c r="G3" s="7">
        <v>41</v>
      </c>
      <c r="H3" s="7">
        <v>5</v>
      </c>
      <c r="I3" s="7">
        <v>713</v>
      </c>
      <c r="J3" s="7">
        <v>717</v>
      </c>
      <c r="K3" s="6" t="s">
        <v>15</v>
      </c>
      <c r="L3" s="9" t="s">
        <v>518</v>
      </c>
      <c r="M3" s="7" t="s">
        <v>50</v>
      </c>
      <c r="N3" s="7" t="s">
        <v>277</v>
      </c>
      <c r="O3" t="s">
        <v>50</v>
      </c>
      <c r="P3" t="s">
        <v>50</v>
      </c>
      <c r="Q3" t="s">
        <v>50</v>
      </c>
      <c r="R3" t="s">
        <v>50</v>
      </c>
      <c r="S3" t="s">
        <v>52</v>
      </c>
      <c r="T3" t="s">
        <v>312</v>
      </c>
      <c r="U3" t="s">
        <v>542</v>
      </c>
      <c r="V3" s="8" t="s">
        <v>335</v>
      </c>
      <c r="W3" t="s">
        <v>89</v>
      </c>
      <c r="X3" s="11" t="s">
        <v>278</v>
      </c>
      <c r="Y3">
        <v>59</v>
      </c>
      <c r="Z3">
        <v>90</v>
      </c>
      <c r="AA3" s="15">
        <f t="shared" si="0"/>
        <v>0.65555555555555556</v>
      </c>
      <c r="AB3" t="s">
        <v>336</v>
      </c>
      <c r="AC3">
        <v>14</v>
      </c>
      <c r="AD3" s="15">
        <f>AC3/Z3</f>
        <v>0.15555555555555556</v>
      </c>
      <c r="AE3" t="s">
        <v>314</v>
      </c>
      <c r="AF3">
        <v>12</v>
      </c>
      <c r="AG3" s="15">
        <f>AF3/Z3</f>
        <v>0.13333333333333333</v>
      </c>
      <c r="AH3" t="s">
        <v>315</v>
      </c>
      <c r="AI3">
        <v>5</v>
      </c>
      <c r="AJ3" s="15">
        <f>AI3/Z3</f>
        <v>5.5555555555555552E-2</v>
      </c>
      <c r="AK3" t="s">
        <v>316</v>
      </c>
      <c r="AL3">
        <v>0</v>
      </c>
      <c r="AM3" s="15">
        <f>AL3/Z3</f>
        <v>0</v>
      </c>
      <c r="AN3" t="s">
        <v>317</v>
      </c>
    </row>
    <row r="4" spans="1:41" x14ac:dyDescent="0.25">
      <c r="A4" s="6">
        <v>213</v>
      </c>
      <c r="B4" s="6" t="s">
        <v>28</v>
      </c>
      <c r="C4" s="6" t="s">
        <v>29</v>
      </c>
      <c r="D4" s="6" t="s">
        <v>26</v>
      </c>
      <c r="E4" s="6" t="s">
        <v>14</v>
      </c>
      <c r="F4" s="7">
        <v>2013</v>
      </c>
      <c r="G4" s="7">
        <v>31</v>
      </c>
      <c r="H4" s="7">
        <v>2</v>
      </c>
      <c r="I4" s="7">
        <v>474</v>
      </c>
      <c r="J4" s="7">
        <v>481</v>
      </c>
      <c r="K4" t="s">
        <v>15</v>
      </c>
      <c r="L4" t="s">
        <v>520</v>
      </c>
      <c r="M4" s="7" t="s">
        <v>92</v>
      </c>
      <c r="N4" t="s">
        <v>91</v>
      </c>
      <c r="O4" t="s">
        <v>50</v>
      </c>
      <c r="P4" t="s">
        <v>50</v>
      </c>
      <c r="Q4" t="s">
        <v>50</v>
      </c>
      <c r="R4" t="s">
        <v>51</v>
      </c>
      <c r="S4" t="s">
        <v>52</v>
      </c>
      <c r="T4" t="s">
        <v>312</v>
      </c>
      <c r="U4" t="s">
        <v>542</v>
      </c>
      <c r="V4" s="11" t="s">
        <v>320</v>
      </c>
      <c r="W4" t="s">
        <v>89</v>
      </c>
      <c r="X4" t="s">
        <v>121</v>
      </c>
      <c r="Y4">
        <v>105</v>
      </c>
      <c r="Z4">
        <f>44+149</f>
        <v>193</v>
      </c>
      <c r="AA4" s="15">
        <f t="shared" si="0"/>
        <v>0.54404145077720212</v>
      </c>
      <c r="AB4" t="s">
        <v>322</v>
      </c>
      <c r="AC4">
        <v>75</v>
      </c>
      <c r="AD4" s="15">
        <f>AC4/Z4</f>
        <v>0.38860103626943004</v>
      </c>
      <c r="AE4" t="s">
        <v>323</v>
      </c>
      <c r="AF4">
        <v>11</v>
      </c>
      <c r="AG4" s="15">
        <f>AF4/Z4</f>
        <v>5.6994818652849742E-2</v>
      </c>
      <c r="AH4" t="s">
        <v>324</v>
      </c>
      <c r="AI4">
        <v>2</v>
      </c>
      <c r="AJ4" s="15">
        <f>AI4/Z4</f>
        <v>1.0362694300518135E-2</v>
      </c>
      <c r="AK4" t="s">
        <v>325</v>
      </c>
      <c r="AL4">
        <v>0</v>
      </c>
      <c r="AM4" s="15">
        <f>AL4/Z4</f>
        <v>0</v>
      </c>
      <c r="AN4" t="s">
        <v>326</v>
      </c>
    </row>
    <row r="5" spans="1:41" x14ac:dyDescent="0.25">
      <c r="A5" s="6">
        <v>229</v>
      </c>
      <c r="B5" s="6" t="s">
        <v>181</v>
      </c>
      <c r="C5" s="6" t="s">
        <v>182</v>
      </c>
      <c r="D5" s="6" t="s">
        <v>26</v>
      </c>
      <c r="E5" s="6" t="s">
        <v>183</v>
      </c>
      <c r="F5" s="7">
        <v>2013</v>
      </c>
      <c r="G5" s="7">
        <v>4</v>
      </c>
      <c r="H5" s="7">
        <v>4</v>
      </c>
      <c r="I5" s="7">
        <v>1000140</v>
      </c>
      <c r="J5" s="7" t="s">
        <v>184</v>
      </c>
      <c r="K5" s="6" t="s">
        <v>15</v>
      </c>
      <c r="L5" t="s">
        <v>521</v>
      </c>
      <c r="M5" s="7" t="s">
        <v>50</v>
      </c>
      <c r="N5" s="7" t="s">
        <v>70</v>
      </c>
      <c r="O5" t="s">
        <v>50</v>
      </c>
      <c r="P5" t="s">
        <v>50</v>
      </c>
      <c r="Q5" t="s">
        <v>50</v>
      </c>
      <c r="R5" t="s">
        <v>50</v>
      </c>
      <c r="S5" s="8" t="s">
        <v>52</v>
      </c>
      <c r="T5" t="s">
        <v>312</v>
      </c>
      <c r="U5" t="s">
        <v>542</v>
      </c>
      <c r="V5" s="8" t="s">
        <v>313</v>
      </c>
      <c r="W5" s="8" t="s">
        <v>89</v>
      </c>
      <c r="X5" s="8" t="s">
        <v>303</v>
      </c>
      <c r="Y5" s="3">
        <f>65%*Z5</f>
        <v>26</v>
      </c>
      <c r="Z5">
        <v>40</v>
      </c>
      <c r="AA5" s="15">
        <f t="shared" si="0"/>
        <v>0.65</v>
      </c>
      <c r="AB5" t="s">
        <v>336</v>
      </c>
      <c r="AC5">
        <v>10</v>
      </c>
      <c r="AD5" s="15">
        <f>AC5/Z5</f>
        <v>0.25</v>
      </c>
      <c r="AE5" t="s">
        <v>314</v>
      </c>
      <c r="AF5">
        <v>4</v>
      </c>
      <c r="AG5" s="15">
        <f>AF5/Z5</f>
        <v>0.1</v>
      </c>
      <c r="AH5" t="s">
        <v>315</v>
      </c>
      <c r="AI5">
        <v>0</v>
      </c>
      <c r="AJ5" s="15">
        <f>AI5/Z5</f>
        <v>0</v>
      </c>
      <c r="AK5" t="s">
        <v>316</v>
      </c>
      <c r="AL5">
        <v>0</v>
      </c>
      <c r="AM5" s="15">
        <f>AL5/Z5</f>
        <v>0</v>
      </c>
      <c r="AN5" t="s">
        <v>317</v>
      </c>
    </row>
    <row r="6" spans="1:41" x14ac:dyDescent="0.25">
      <c r="A6">
        <v>1086</v>
      </c>
      <c r="B6" s="6" t="s">
        <v>21</v>
      </c>
      <c r="C6" s="6" t="s">
        <v>22</v>
      </c>
      <c r="D6" s="6"/>
      <c r="E6" s="6" t="s">
        <v>23</v>
      </c>
      <c r="F6" s="7">
        <v>2014</v>
      </c>
      <c r="G6" s="7">
        <v>71</v>
      </c>
      <c r="H6" s="7">
        <v>4</v>
      </c>
      <c r="I6" s="7">
        <v>265</v>
      </c>
      <c r="J6" s="7">
        <v>269</v>
      </c>
      <c r="K6" t="s">
        <v>15</v>
      </c>
      <c r="L6" s="7" t="s">
        <v>537</v>
      </c>
      <c r="M6" t="s">
        <v>50</v>
      </c>
      <c r="N6" t="s">
        <v>109</v>
      </c>
      <c r="O6" t="s">
        <v>50</v>
      </c>
      <c r="P6" t="s">
        <v>50</v>
      </c>
      <c r="Q6" t="s">
        <v>50</v>
      </c>
      <c r="R6" t="s">
        <v>50</v>
      </c>
      <c r="S6" t="s">
        <v>52</v>
      </c>
      <c r="T6" t="s">
        <v>312</v>
      </c>
      <c r="U6" t="s">
        <v>542</v>
      </c>
      <c r="V6" s="11" t="s">
        <v>327</v>
      </c>
      <c r="W6" t="s">
        <v>89</v>
      </c>
      <c r="X6" t="s">
        <v>110</v>
      </c>
      <c r="Y6" s="3">
        <f>57%*Z6</f>
        <v>70.679999999999993</v>
      </c>
      <c r="Z6">
        <v>124</v>
      </c>
      <c r="AA6" s="15">
        <f t="shared" si="0"/>
        <v>0.56999999999999995</v>
      </c>
      <c r="AB6" t="s">
        <v>329</v>
      </c>
      <c r="AC6" s="13">
        <f>36%*Z6</f>
        <v>44.64</v>
      </c>
      <c r="AD6" s="15">
        <f>AC6/Z6</f>
        <v>0.36</v>
      </c>
      <c r="AE6" s="12" t="s">
        <v>330</v>
      </c>
      <c r="AF6" s="13">
        <f>6%*Z6</f>
        <v>7.4399999999999995</v>
      </c>
      <c r="AG6" s="15">
        <f>AF6/Z6</f>
        <v>0.06</v>
      </c>
      <c r="AH6" s="12" t="s">
        <v>104</v>
      </c>
      <c r="AI6" s="13">
        <f>3%*Z6</f>
        <v>3.7199999999999998</v>
      </c>
      <c r="AJ6" s="15">
        <f>AI6/Z6</f>
        <v>0.03</v>
      </c>
      <c r="AK6" t="s">
        <v>331</v>
      </c>
      <c r="AL6">
        <v>0</v>
      </c>
      <c r="AM6" s="15">
        <f>AL6/Z6</f>
        <v>0</v>
      </c>
      <c r="AN6" t="s">
        <v>332</v>
      </c>
      <c r="AO6" t="s">
        <v>333</v>
      </c>
    </row>
    <row r="7" spans="1:41" x14ac:dyDescent="0.25">
      <c r="A7" s="6">
        <v>951</v>
      </c>
      <c r="B7" s="6" t="s">
        <v>236</v>
      </c>
      <c r="C7" s="6" t="s">
        <v>237</v>
      </c>
      <c r="D7" s="6" t="s">
        <v>26</v>
      </c>
      <c r="E7" s="6" t="s">
        <v>238</v>
      </c>
      <c r="F7" s="7">
        <v>2015</v>
      </c>
      <c r="G7" s="7">
        <v>5</v>
      </c>
      <c r="H7" s="7">
        <v>2</v>
      </c>
      <c r="I7" s="7">
        <v>157</v>
      </c>
      <c r="J7" s="7">
        <v>161</v>
      </c>
      <c r="K7" s="6" t="s">
        <v>15</v>
      </c>
      <c r="L7" s="8" t="s">
        <v>535</v>
      </c>
      <c r="M7" s="7" t="s">
        <v>50</v>
      </c>
      <c r="N7" s="7" t="s">
        <v>70</v>
      </c>
      <c r="O7" s="7" t="s">
        <v>50</v>
      </c>
      <c r="P7" s="7" t="s">
        <v>50</v>
      </c>
      <c r="Q7" s="7" t="s">
        <v>50</v>
      </c>
      <c r="R7" s="7" t="s">
        <v>50</v>
      </c>
      <c r="S7" s="7" t="s">
        <v>52</v>
      </c>
      <c r="T7" s="8" t="s">
        <v>312</v>
      </c>
      <c r="U7" t="s">
        <v>542</v>
      </c>
      <c r="V7" s="8" t="s">
        <v>445</v>
      </c>
      <c r="W7" s="8" t="s">
        <v>89</v>
      </c>
      <c r="X7" s="8" t="s">
        <v>441</v>
      </c>
      <c r="Y7" s="3">
        <v>143</v>
      </c>
      <c r="Z7">
        <v>351</v>
      </c>
      <c r="AA7" s="15">
        <f t="shared" si="0"/>
        <v>0.40740740740740738</v>
      </c>
      <c r="AB7" t="s">
        <v>336</v>
      </c>
      <c r="AC7">
        <v>33</v>
      </c>
      <c r="AE7" t="s">
        <v>315</v>
      </c>
      <c r="AF7">
        <v>132</v>
      </c>
      <c r="AH7" t="s">
        <v>314</v>
      </c>
      <c r="AI7">
        <v>27</v>
      </c>
      <c r="AK7" t="s">
        <v>316</v>
      </c>
      <c r="AL7">
        <v>15</v>
      </c>
      <c r="AN7" t="s">
        <v>446</v>
      </c>
    </row>
    <row r="8" spans="1:41" x14ac:dyDescent="0.25">
      <c r="A8" s="6">
        <v>291</v>
      </c>
      <c r="B8" s="6" t="s">
        <v>188</v>
      </c>
      <c r="C8" s="6" t="s">
        <v>189</v>
      </c>
      <c r="D8" s="6" t="s">
        <v>26</v>
      </c>
      <c r="E8" s="6" t="s">
        <v>14</v>
      </c>
      <c r="F8" s="7">
        <v>2016</v>
      </c>
      <c r="G8" s="7">
        <v>63</v>
      </c>
      <c r="H8" s="7" t="s">
        <v>184</v>
      </c>
      <c r="I8" s="7">
        <v>147</v>
      </c>
      <c r="J8" s="7">
        <v>157</v>
      </c>
      <c r="K8" s="6" t="s">
        <v>15</v>
      </c>
      <c r="L8" t="s">
        <v>523</v>
      </c>
      <c r="M8" s="7" t="s">
        <v>50</v>
      </c>
      <c r="N8" s="7" t="s">
        <v>70</v>
      </c>
      <c r="O8" t="s">
        <v>50</v>
      </c>
      <c r="P8" t="s">
        <v>50</v>
      </c>
      <c r="Q8" t="s">
        <v>50</v>
      </c>
      <c r="R8" t="s">
        <v>50</v>
      </c>
      <c r="S8" s="8" t="s">
        <v>52</v>
      </c>
      <c r="T8" t="s">
        <v>312</v>
      </c>
      <c r="U8" t="s">
        <v>542</v>
      </c>
      <c r="V8" s="11" t="s">
        <v>344</v>
      </c>
      <c r="W8" s="8" t="s">
        <v>89</v>
      </c>
      <c r="X8" s="8" t="s">
        <v>338</v>
      </c>
      <c r="Y8" s="3">
        <f>69.2%*Z8</f>
        <v>125.94400000000002</v>
      </c>
      <c r="Z8">
        <v>182</v>
      </c>
      <c r="AA8" s="15">
        <f t="shared" si="0"/>
        <v>0.69200000000000006</v>
      </c>
      <c r="AB8" t="s">
        <v>343</v>
      </c>
      <c r="AD8" s="15">
        <f>AC8/Z8</f>
        <v>0</v>
      </c>
      <c r="AG8" s="15">
        <f>AF8/Z8</f>
        <v>0</v>
      </c>
      <c r="AJ8" s="15">
        <f>AI8/Z8</f>
        <v>0</v>
      </c>
      <c r="AM8" s="15">
        <f>AL8/Z8</f>
        <v>0</v>
      </c>
    </row>
    <row r="9" spans="1:41" x14ac:dyDescent="0.25">
      <c r="A9" s="6">
        <v>832</v>
      </c>
      <c r="B9" s="6" t="s">
        <v>225</v>
      </c>
      <c r="C9" s="6" t="s">
        <v>226</v>
      </c>
      <c r="D9" s="6" t="s">
        <v>26</v>
      </c>
      <c r="E9" s="6" t="s">
        <v>227</v>
      </c>
      <c r="F9" s="7">
        <v>2016</v>
      </c>
      <c r="G9" s="7">
        <v>79</v>
      </c>
      <c r="H9" s="7">
        <v>9</v>
      </c>
      <c r="I9" s="7">
        <v>1588</v>
      </c>
      <c r="J9" s="7">
        <v>1598</v>
      </c>
      <c r="K9" s="6" t="s">
        <v>15</v>
      </c>
      <c r="L9" s="8" t="s">
        <v>531</v>
      </c>
      <c r="M9" s="6" t="s">
        <v>495</v>
      </c>
      <c r="N9" s="7" t="s">
        <v>70</v>
      </c>
      <c r="O9" s="7" t="s">
        <v>50</v>
      </c>
      <c r="P9" s="7" t="s">
        <v>50</v>
      </c>
      <c r="Q9" s="7" t="s">
        <v>50</v>
      </c>
      <c r="R9" s="7" t="s">
        <v>51</v>
      </c>
      <c r="S9" t="s">
        <v>52</v>
      </c>
      <c r="T9" s="8" t="s">
        <v>312</v>
      </c>
      <c r="U9" t="s">
        <v>542</v>
      </c>
      <c r="V9" s="8" t="s">
        <v>439</v>
      </c>
      <c r="W9" s="8" t="s">
        <v>89</v>
      </c>
      <c r="X9" s="8" t="s">
        <v>493</v>
      </c>
      <c r="Y9">
        <f>113+82+74</f>
        <v>269</v>
      </c>
      <c r="Z9">
        <f>277+211+156</f>
        <v>644</v>
      </c>
      <c r="AA9" s="15">
        <f t="shared" si="0"/>
        <v>0.41770186335403725</v>
      </c>
      <c r="AB9" t="s">
        <v>440</v>
      </c>
      <c r="AC9">
        <f>129+114+71</f>
        <v>314</v>
      </c>
      <c r="AD9" s="15">
        <f>AC9/Z9</f>
        <v>0.48757763975155277</v>
      </c>
      <c r="AE9" t="s">
        <v>323</v>
      </c>
      <c r="AF9">
        <f>9+4+1</f>
        <v>14</v>
      </c>
      <c r="AG9" s="15">
        <f>AF9/Z9</f>
        <v>2.1739130434782608E-2</v>
      </c>
      <c r="AH9" t="s">
        <v>105</v>
      </c>
      <c r="AI9">
        <f>26+10+10</f>
        <v>46</v>
      </c>
      <c r="AJ9" s="15">
        <f>AI9/Z9</f>
        <v>7.1428571428571425E-2</v>
      </c>
      <c r="AK9" t="s">
        <v>325</v>
      </c>
      <c r="AL9">
        <f>1</f>
        <v>1</v>
      </c>
      <c r="AM9" s="15">
        <f>AL9/Z9</f>
        <v>1.5527950310559005E-3</v>
      </c>
      <c r="AN9" t="s">
        <v>326</v>
      </c>
      <c r="AO9" s="15"/>
    </row>
    <row r="10" spans="1:41" x14ac:dyDescent="0.25">
      <c r="A10" s="6">
        <v>213</v>
      </c>
      <c r="B10" s="6" t="s">
        <v>28</v>
      </c>
      <c r="C10" s="6" t="s">
        <v>29</v>
      </c>
      <c r="D10" s="6" t="s">
        <v>26</v>
      </c>
      <c r="E10" s="6" t="s">
        <v>14</v>
      </c>
      <c r="F10" s="7">
        <v>2013</v>
      </c>
      <c r="G10" s="7">
        <v>31</v>
      </c>
      <c r="H10" s="7">
        <v>2</v>
      </c>
      <c r="I10" s="7">
        <v>474</v>
      </c>
      <c r="J10" s="7">
        <v>481</v>
      </c>
      <c r="K10" t="s">
        <v>15</v>
      </c>
      <c r="L10" t="s">
        <v>520</v>
      </c>
      <c r="M10" s="7" t="s">
        <v>92</v>
      </c>
      <c r="N10" t="s">
        <v>91</v>
      </c>
      <c r="O10" t="s">
        <v>50</v>
      </c>
      <c r="P10" t="s">
        <v>50</v>
      </c>
      <c r="Q10" t="s">
        <v>50</v>
      </c>
      <c r="R10" t="s">
        <v>51</v>
      </c>
      <c r="S10" t="s">
        <v>52</v>
      </c>
      <c r="T10" t="s">
        <v>312</v>
      </c>
      <c r="U10" s="9" t="s">
        <v>543</v>
      </c>
      <c r="V10" s="11" t="s">
        <v>321</v>
      </c>
      <c r="W10" t="s">
        <v>89</v>
      </c>
      <c r="X10" t="s">
        <v>121</v>
      </c>
      <c r="Y10">
        <v>34</v>
      </c>
      <c r="Z10">
        <f>193</f>
        <v>193</v>
      </c>
      <c r="AA10" s="15">
        <f t="shared" si="0"/>
        <v>0.17616580310880828</v>
      </c>
      <c r="AB10" t="s">
        <v>322</v>
      </c>
      <c r="AC10">
        <v>71</v>
      </c>
      <c r="AD10" s="15">
        <f>AC10/Z10</f>
        <v>0.36787564766839376</v>
      </c>
      <c r="AE10" t="s">
        <v>323</v>
      </c>
      <c r="AF10">
        <v>43</v>
      </c>
      <c r="AG10" s="15">
        <f>AF10/Z10</f>
        <v>0.22279792746113988</v>
      </c>
      <c r="AH10" t="s">
        <v>324</v>
      </c>
      <c r="AI10">
        <v>36</v>
      </c>
      <c r="AJ10" s="15">
        <f>AI10/Z10</f>
        <v>0.18652849740932642</v>
      </c>
      <c r="AK10" t="s">
        <v>325</v>
      </c>
      <c r="AL10">
        <v>9</v>
      </c>
      <c r="AM10" s="15">
        <f>AL10/Z10</f>
        <v>4.6632124352331605E-2</v>
      </c>
      <c r="AN10" t="s">
        <v>326</v>
      </c>
    </row>
    <row r="11" spans="1:41" x14ac:dyDescent="0.25">
      <c r="A11">
        <v>1086</v>
      </c>
      <c r="B11" s="6" t="s">
        <v>21</v>
      </c>
      <c r="C11" s="6" t="s">
        <v>22</v>
      </c>
      <c r="D11" s="6"/>
      <c r="E11" s="6" t="s">
        <v>23</v>
      </c>
      <c r="F11" s="7">
        <v>2014</v>
      </c>
      <c r="G11" s="7">
        <v>71</v>
      </c>
      <c r="H11" s="7">
        <v>4</v>
      </c>
      <c r="I11" s="7">
        <v>265</v>
      </c>
      <c r="J11" s="7">
        <v>269</v>
      </c>
      <c r="K11" t="s">
        <v>15</v>
      </c>
      <c r="L11" s="7" t="s">
        <v>537</v>
      </c>
      <c r="M11" t="s">
        <v>50</v>
      </c>
      <c r="N11" t="s">
        <v>109</v>
      </c>
      <c r="O11" t="s">
        <v>50</v>
      </c>
      <c r="P11" t="s">
        <v>50</v>
      </c>
      <c r="Q11" t="s">
        <v>50</v>
      </c>
      <c r="R11" t="s">
        <v>50</v>
      </c>
      <c r="S11" t="s">
        <v>52</v>
      </c>
      <c r="T11" t="s">
        <v>312</v>
      </c>
      <c r="U11" s="9" t="s">
        <v>543</v>
      </c>
      <c r="V11" s="11" t="s">
        <v>328</v>
      </c>
      <c r="W11" t="s">
        <v>89</v>
      </c>
      <c r="X11" t="s">
        <v>110</v>
      </c>
      <c r="Y11" s="3">
        <f>20%*Z11</f>
        <v>24.8</v>
      </c>
      <c r="Z11">
        <v>124</v>
      </c>
      <c r="AA11" s="15">
        <f t="shared" si="0"/>
        <v>0.2</v>
      </c>
      <c r="AB11" t="s">
        <v>329</v>
      </c>
      <c r="AC11" s="13">
        <f>44%*Z11</f>
        <v>54.56</v>
      </c>
      <c r="AE11" s="12" t="s">
        <v>330</v>
      </c>
      <c r="AF11" s="13">
        <f>21%*Z11</f>
        <v>26.04</v>
      </c>
      <c r="AH11" s="12" t="s">
        <v>104</v>
      </c>
      <c r="AI11" s="13">
        <f>12%*Z11</f>
        <v>14.879999999999999</v>
      </c>
      <c r="AK11" t="s">
        <v>331</v>
      </c>
      <c r="AL11" s="14">
        <f>3%*Z11</f>
        <v>3.7199999999999998</v>
      </c>
      <c r="AN11" t="s">
        <v>332</v>
      </c>
      <c r="AO11" t="s">
        <v>334</v>
      </c>
    </row>
    <row r="12" spans="1:41" x14ac:dyDescent="0.25">
      <c r="A12" s="6">
        <v>291</v>
      </c>
      <c r="B12" s="6" t="s">
        <v>188</v>
      </c>
      <c r="C12" s="6" t="s">
        <v>189</v>
      </c>
      <c r="D12" s="6" t="s">
        <v>26</v>
      </c>
      <c r="E12" s="6" t="s">
        <v>14</v>
      </c>
      <c r="F12" s="7">
        <v>2016</v>
      </c>
      <c r="G12" s="7">
        <v>63</v>
      </c>
      <c r="H12" s="7" t="s">
        <v>184</v>
      </c>
      <c r="I12" s="7">
        <v>147</v>
      </c>
      <c r="J12" s="7">
        <v>157</v>
      </c>
      <c r="K12" s="6" t="s">
        <v>15</v>
      </c>
      <c r="L12" t="s">
        <v>523</v>
      </c>
      <c r="M12" s="7" t="s">
        <v>50</v>
      </c>
      <c r="N12" s="7" t="s">
        <v>70</v>
      </c>
      <c r="O12" t="s">
        <v>50</v>
      </c>
      <c r="P12" t="s">
        <v>50</v>
      </c>
      <c r="Q12" t="s">
        <v>50</v>
      </c>
      <c r="R12" t="s">
        <v>50</v>
      </c>
      <c r="S12" s="8" t="s">
        <v>52</v>
      </c>
      <c r="T12" t="s">
        <v>312</v>
      </c>
      <c r="U12" s="9" t="s">
        <v>543</v>
      </c>
      <c r="V12" s="11" t="s">
        <v>345</v>
      </c>
      <c r="W12" s="8" t="s">
        <v>89</v>
      </c>
      <c r="X12" s="8" t="s">
        <v>338</v>
      </c>
      <c r="Y12" s="3">
        <f>54.2%*Z12</f>
        <v>97.018000000000001</v>
      </c>
      <c r="Z12">
        <v>179</v>
      </c>
      <c r="AA12" s="15">
        <f t="shared" si="0"/>
        <v>0.54200000000000004</v>
      </c>
      <c r="AB12" t="s">
        <v>343</v>
      </c>
      <c r="AD12" s="15">
        <f>AC12/Z12</f>
        <v>0</v>
      </c>
      <c r="AG12" s="15">
        <f>AF12/Z12</f>
        <v>0</v>
      </c>
      <c r="AJ12" s="15">
        <f>AI12/Z12</f>
        <v>0</v>
      </c>
      <c r="AM12" s="15">
        <f>AL12/Z12</f>
        <v>0</v>
      </c>
    </row>
    <row r="13" spans="1:41" x14ac:dyDescent="0.25">
      <c r="AD13" s="15"/>
      <c r="AG13" s="15"/>
      <c r="AJ13" s="15"/>
      <c r="AM13" s="15"/>
    </row>
    <row r="14" spans="1:41" x14ac:dyDescent="0.25">
      <c r="AA14" s="15"/>
      <c r="AD14" s="15"/>
      <c r="AG14" s="15"/>
      <c r="AJ14" s="15"/>
      <c r="AM14" s="15"/>
    </row>
    <row r="15" spans="1:41" x14ac:dyDescent="0.25">
      <c r="AA15" s="15"/>
      <c r="AD15" s="15"/>
      <c r="AG15" s="15"/>
      <c r="AJ15" s="15"/>
      <c r="AM15" s="15"/>
    </row>
    <row r="20" spans="21:21" x14ac:dyDescent="0.25">
      <c r="U20" s="8"/>
    </row>
    <row r="23" spans="21:21" x14ac:dyDescent="0.25">
      <c r="U23" s="9"/>
    </row>
    <row r="24" spans="21:21" x14ac:dyDescent="0.25">
      <c r="U24" s="9"/>
    </row>
    <row r="25" spans="21:21" x14ac:dyDescent="0.25">
      <c r="U25" s="9"/>
    </row>
    <row r="26" spans="21:21" x14ac:dyDescent="0.25">
      <c r="U26" s="9"/>
    </row>
    <row r="28" spans="21:21" x14ac:dyDescent="0.25">
      <c r="U28" s="9"/>
    </row>
    <row r="55" spans="22:24" x14ac:dyDescent="0.25">
      <c r="V55" s="11"/>
      <c r="W55" s="8"/>
      <c r="X55" s="8"/>
    </row>
  </sheetData>
  <autoFilter ref="A1:AO1">
    <sortState ref="A2:AL582">
      <sortCondition ref="T1:T145"/>
    </sortState>
  </autoFilter>
  <sortState ref="A2:AR12">
    <sortCondition ref="U2:U12"/>
    <sortCondition ref="F2:F12"/>
  </sortState>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9"/>
  <sheetViews>
    <sheetView zoomScale="85" zoomScaleNormal="85" workbookViewId="0">
      <pane xSplit="2" ySplit="1" topLeftCell="V2" activePane="bottomRight" state="frozen"/>
      <selection pane="topRight" activeCell="C1" sqref="C1"/>
      <selection pane="bottomLeft" activeCell="A2" sqref="A2"/>
      <selection pane="bottomRight" activeCell="Y33" sqref="Y33"/>
    </sheetView>
  </sheetViews>
  <sheetFormatPr defaultRowHeight="15" x14ac:dyDescent="0.25"/>
  <cols>
    <col min="1" max="1" width="6.42578125" customWidth="1"/>
    <col min="2" max="2" width="15.5703125" customWidth="1"/>
    <col min="6" max="8" width="9.140625" style="8"/>
    <col min="9" max="9" width="10" style="8" customWidth="1"/>
    <col min="10" max="10" width="9.140625" style="8"/>
    <col min="11" max="11" width="4.5703125" customWidth="1"/>
    <col min="12" max="12" width="11.42578125" customWidth="1"/>
    <col min="13" max="13" width="12.28515625" customWidth="1"/>
    <col min="14" max="14" width="12.7109375" customWidth="1"/>
    <col min="15" max="15" width="13.5703125" customWidth="1"/>
    <col min="16" max="16" width="13.140625" customWidth="1"/>
    <col min="17" max="17" width="9.85546875" customWidth="1"/>
    <col min="18" max="19" width="11.42578125" customWidth="1"/>
    <col min="20" max="20" width="15.5703125" customWidth="1"/>
    <col min="21" max="21" width="42.28515625" customWidth="1"/>
    <col min="22" max="22" width="45.28515625" customWidth="1"/>
    <col min="23" max="23" width="11.7109375" customWidth="1"/>
    <col min="24" max="24" width="12.140625" customWidth="1"/>
    <col min="28" max="28" width="10.28515625" customWidth="1"/>
  </cols>
  <sheetData>
    <row r="1" spans="1:28" s="1" customFormat="1" x14ac:dyDescent="0.25">
      <c r="A1" s="4" t="s">
        <v>0</v>
      </c>
      <c r="B1" s="4" t="s">
        <v>2</v>
      </c>
      <c r="C1" s="4" t="s">
        <v>3</v>
      </c>
      <c r="D1" s="4" t="s">
        <v>4</v>
      </c>
      <c r="E1" s="4" t="s">
        <v>5</v>
      </c>
      <c r="F1" s="5" t="s">
        <v>6</v>
      </c>
      <c r="G1" s="5" t="s">
        <v>7</v>
      </c>
      <c r="H1" s="5" t="s">
        <v>8</v>
      </c>
      <c r="I1" s="5" t="s">
        <v>9</v>
      </c>
      <c r="J1" s="5" t="s">
        <v>10</v>
      </c>
      <c r="K1" s="4" t="s">
        <v>11</v>
      </c>
      <c r="L1" s="16" t="s">
        <v>504</v>
      </c>
      <c r="M1" s="2" t="s">
        <v>1</v>
      </c>
      <c r="N1" s="2" t="s">
        <v>30</v>
      </c>
      <c r="O1" s="2" t="s">
        <v>31</v>
      </c>
      <c r="P1" s="2" t="s">
        <v>32</v>
      </c>
      <c r="Q1" s="2" t="s">
        <v>33</v>
      </c>
      <c r="R1" s="2" t="s">
        <v>34</v>
      </c>
      <c r="S1" s="10" t="s">
        <v>47</v>
      </c>
      <c r="T1" s="10" t="s">
        <v>35</v>
      </c>
      <c r="U1" s="10" t="s">
        <v>503</v>
      </c>
      <c r="V1" s="1" t="s">
        <v>36</v>
      </c>
      <c r="W1" s="1" t="s">
        <v>37</v>
      </c>
      <c r="X1" s="1" t="s">
        <v>38</v>
      </c>
      <c r="Y1" s="1" t="s">
        <v>39</v>
      </c>
      <c r="Z1" s="1" t="s">
        <v>40</v>
      </c>
      <c r="AA1" s="1" t="s">
        <v>544</v>
      </c>
      <c r="AB1" s="1" t="s">
        <v>41</v>
      </c>
    </row>
    <row r="2" spans="1:28" x14ac:dyDescent="0.25">
      <c r="A2" s="6">
        <v>157</v>
      </c>
      <c r="B2" s="6" t="s">
        <v>178</v>
      </c>
      <c r="C2" s="6" t="s">
        <v>179</v>
      </c>
      <c r="D2" s="6" t="s">
        <v>26</v>
      </c>
      <c r="E2" s="6" t="s">
        <v>180</v>
      </c>
      <c r="F2" s="7">
        <v>2009</v>
      </c>
      <c r="G2" s="7">
        <v>7</v>
      </c>
      <c r="H2" s="7">
        <v>4</v>
      </c>
      <c r="I2" s="7">
        <v>259</v>
      </c>
      <c r="J2" s="7">
        <v>284</v>
      </c>
      <c r="K2" s="6" t="s">
        <v>15</v>
      </c>
      <c r="L2" s="8" t="s">
        <v>506</v>
      </c>
      <c r="M2" s="7" t="s">
        <v>295</v>
      </c>
      <c r="N2" s="7" t="s">
        <v>70</v>
      </c>
      <c r="O2" t="s">
        <v>50</v>
      </c>
      <c r="P2" t="s">
        <v>50</v>
      </c>
      <c r="Q2" t="s">
        <v>50</v>
      </c>
      <c r="R2" s="8" t="s">
        <v>51</v>
      </c>
      <c r="S2" s="8" t="s">
        <v>85</v>
      </c>
      <c r="T2" s="8" t="s">
        <v>57</v>
      </c>
      <c r="U2" t="s">
        <v>551</v>
      </c>
      <c r="V2" s="8" t="s">
        <v>301</v>
      </c>
      <c r="W2" s="8" t="s">
        <v>89</v>
      </c>
      <c r="X2" s="8" t="s">
        <v>294</v>
      </c>
      <c r="Y2" s="3">
        <f>94.7%*Z2</f>
        <v>54.926000000000002</v>
      </c>
      <c r="Z2">
        <v>58</v>
      </c>
      <c r="AA2" s="19">
        <f>Y2/Z2</f>
        <v>0.94700000000000006</v>
      </c>
      <c r="AB2" t="s">
        <v>84</v>
      </c>
    </row>
    <row r="3" spans="1:28" x14ac:dyDescent="0.25">
      <c r="A3" s="6">
        <v>775</v>
      </c>
      <c r="B3" s="6" t="s">
        <v>216</v>
      </c>
      <c r="C3" s="6" t="s">
        <v>217</v>
      </c>
      <c r="D3" s="6" t="s">
        <v>26</v>
      </c>
      <c r="E3" s="6" t="s">
        <v>218</v>
      </c>
      <c r="F3" s="7">
        <v>2012</v>
      </c>
      <c r="G3" s="7">
        <v>55</v>
      </c>
      <c r="H3" s="7">
        <v>6</v>
      </c>
      <c r="I3" s="7">
        <v>740</v>
      </c>
      <c r="J3" s="7">
        <v>744</v>
      </c>
      <c r="K3" s="6" t="s">
        <v>15</v>
      </c>
      <c r="L3" s="7" t="s">
        <v>508</v>
      </c>
      <c r="M3" s="8" t="s">
        <v>386</v>
      </c>
      <c r="N3" s="6" t="s">
        <v>494</v>
      </c>
      <c r="O3" s="7" t="s">
        <v>50</v>
      </c>
      <c r="P3" s="8" t="s">
        <v>51</v>
      </c>
      <c r="Q3" s="7" t="s">
        <v>50</v>
      </c>
      <c r="R3" s="8" t="s">
        <v>349</v>
      </c>
      <c r="S3" s="7" t="s">
        <v>85</v>
      </c>
      <c r="T3" t="s">
        <v>57</v>
      </c>
      <c r="U3" t="s">
        <v>551</v>
      </c>
      <c r="V3" s="8" t="s">
        <v>389</v>
      </c>
      <c r="W3" s="8" t="s">
        <v>89</v>
      </c>
      <c r="X3" s="8" t="s">
        <v>387</v>
      </c>
      <c r="Y3">
        <v>6</v>
      </c>
      <c r="Z3">
        <v>6</v>
      </c>
      <c r="AA3" s="19">
        <f t="shared" ref="AA3:AA19" si="0">Y3/Z3</f>
        <v>1</v>
      </c>
      <c r="AB3" t="s">
        <v>84</v>
      </c>
    </row>
    <row r="4" spans="1:28" x14ac:dyDescent="0.25">
      <c r="A4" s="6">
        <v>112</v>
      </c>
      <c r="B4" s="6" t="s">
        <v>157</v>
      </c>
      <c r="C4" s="6" t="s">
        <v>158</v>
      </c>
      <c r="D4" s="6" t="s">
        <v>26</v>
      </c>
      <c r="E4" s="6" t="s">
        <v>159</v>
      </c>
      <c r="F4" s="7">
        <v>2014</v>
      </c>
      <c r="G4" s="7">
        <v>26</v>
      </c>
      <c r="H4" s="7">
        <v>11</v>
      </c>
      <c r="I4" s="7">
        <v>1228</v>
      </c>
      <c r="J4" s="7">
        <v>1233</v>
      </c>
      <c r="K4" s="6" t="s">
        <v>15</v>
      </c>
      <c r="L4" t="s">
        <v>505</v>
      </c>
      <c r="M4" s="7" t="s">
        <v>69</v>
      </c>
      <c r="N4" s="7" t="s">
        <v>70</v>
      </c>
      <c r="O4" t="s">
        <v>50</v>
      </c>
      <c r="P4" t="s">
        <v>50</v>
      </c>
      <c r="Q4" t="s">
        <v>50</v>
      </c>
      <c r="R4" t="s">
        <v>51</v>
      </c>
      <c r="S4" t="s">
        <v>85</v>
      </c>
      <c r="T4" t="s">
        <v>57</v>
      </c>
      <c r="U4" t="s">
        <v>551</v>
      </c>
      <c r="V4" t="s">
        <v>266</v>
      </c>
      <c r="W4" t="s">
        <v>89</v>
      </c>
      <c r="X4" t="s">
        <v>265</v>
      </c>
      <c r="Y4">
        <f>12+35+33+9+1+5+7</f>
        <v>102</v>
      </c>
      <c r="Z4">
        <v>265</v>
      </c>
      <c r="AA4" s="19">
        <f t="shared" si="0"/>
        <v>0.38490566037735852</v>
      </c>
      <c r="AB4" t="s">
        <v>84</v>
      </c>
    </row>
    <row r="5" spans="1:28" x14ac:dyDescent="0.25">
      <c r="A5" s="6">
        <v>382</v>
      </c>
      <c r="B5" s="6" t="s">
        <v>195</v>
      </c>
      <c r="C5" s="6" t="s">
        <v>196</v>
      </c>
      <c r="D5" s="6" t="s">
        <v>26</v>
      </c>
      <c r="E5" s="6" t="s">
        <v>197</v>
      </c>
      <c r="F5" s="7">
        <v>2015</v>
      </c>
      <c r="G5" s="7">
        <v>45</v>
      </c>
      <c r="H5" s="7">
        <v>3</v>
      </c>
      <c r="I5" s="7">
        <v>190</v>
      </c>
      <c r="J5" s="7">
        <v>197</v>
      </c>
      <c r="K5" s="6" t="s">
        <v>15</v>
      </c>
      <c r="L5" s="8" t="s">
        <v>507</v>
      </c>
      <c r="M5" s="7" t="s">
        <v>50</v>
      </c>
      <c r="N5" s="7" t="s">
        <v>50</v>
      </c>
      <c r="O5" s="7" t="s">
        <v>50</v>
      </c>
      <c r="P5" s="7" t="s">
        <v>50</v>
      </c>
      <c r="Q5" s="7" t="s">
        <v>50</v>
      </c>
      <c r="R5" s="7" t="s">
        <v>50</v>
      </c>
      <c r="S5" s="8" t="s">
        <v>85</v>
      </c>
      <c r="T5" s="8" t="s">
        <v>57</v>
      </c>
      <c r="U5" t="s">
        <v>551</v>
      </c>
      <c r="V5" s="8" t="s">
        <v>354</v>
      </c>
      <c r="W5" s="8" t="s">
        <v>355</v>
      </c>
      <c r="X5" s="8" t="s">
        <v>356</v>
      </c>
      <c r="Y5">
        <f>Z5-31</f>
        <v>81</v>
      </c>
      <c r="Z5">
        <v>112</v>
      </c>
      <c r="AA5" s="19">
        <f t="shared" si="0"/>
        <v>0.7232142857142857</v>
      </c>
      <c r="AB5" t="s">
        <v>84</v>
      </c>
    </row>
    <row r="6" spans="1:28" s="20" customFormat="1" x14ac:dyDescent="0.25">
      <c r="A6" s="20">
        <v>157</v>
      </c>
      <c r="B6" s="20" t="s">
        <v>178</v>
      </c>
      <c r="C6" s="20" t="s">
        <v>179</v>
      </c>
      <c r="D6" s="20" t="s">
        <v>26</v>
      </c>
      <c r="E6" s="20" t="s">
        <v>180</v>
      </c>
      <c r="F6" s="21">
        <v>2009</v>
      </c>
      <c r="G6" s="21">
        <v>7</v>
      </c>
      <c r="H6" s="21">
        <v>4</v>
      </c>
      <c r="I6" s="21">
        <v>259</v>
      </c>
      <c r="J6" s="21">
        <v>284</v>
      </c>
      <c r="K6" s="20" t="s">
        <v>15</v>
      </c>
      <c r="L6" s="21" t="s">
        <v>506</v>
      </c>
      <c r="M6" s="21" t="s">
        <v>295</v>
      </c>
      <c r="N6" s="21" t="s">
        <v>70</v>
      </c>
      <c r="O6" s="20" t="s">
        <v>50</v>
      </c>
      <c r="P6" s="20" t="s">
        <v>50</v>
      </c>
      <c r="Q6" s="20" t="s">
        <v>50</v>
      </c>
      <c r="R6" s="21" t="s">
        <v>51</v>
      </c>
      <c r="S6" s="21" t="s">
        <v>85</v>
      </c>
      <c r="T6" s="21" t="s">
        <v>57</v>
      </c>
      <c r="U6" s="20" t="s">
        <v>550</v>
      </c>
      <c r="V6" s="21" t="s">
        <v>302</v>
      </c>
      <c r="W6" s="21" t="s">
        <v>89</v>
      </c>
      <c r="X6" s="21" t="s">
        <v>294</v>
      </c>
      <c r="Y6" s="25">
        <f>39.3%*Z6</f>
        <v>22.793999999999997</v>
      </c>
      <c r="Z6" s="20">
        <v>58</v>
      </c>
      <c r="AA6" s="26">
        <f t="shared" si="0"/>
        <v>0.39299999999999996</v>
      </c>
      <c r="AB6" s="20" t="s">
        <v>84</v>
      </c>
    </row>
    <row r="7" spans="1:28" s="20" customFormat="1" x14ac:dyDescent="0.25">
      <c r="A7" s="20">
        <v>671</v>
      </c>
      <c r="B7" s="20" t="s">
        <v>213</v>
      </c>
      <c r="C7" s="20" t="s">
        <v>214</v>
      </c>
      <c r="D7" s="20" t="s">
        <v>26</v>
      </c>
      <c r="E7" s="20" t="s">
        <v>215</v>
      </c>
      <c r="F7" s="21">
        <v>2011</v>
      </c>
      <c r="G7" s="21">
        <v>46</v>
      </c>
      <c r="H7" s="21">
        <v>8</v>
      </c>
      <c r="I7" s="21">
        <v>1569</v>
      </c>
      <c r="J7" s="21">
        <v>1574</v>
      </c>
      <c r="K7" s="20" t="s">
        <v>15</v>
      </c>
      <c r="L7" s="21" t="s">
        <v>509</v>
      </c>
      <c r="M7" s="21" t="s">
        <v>50</v>
      </c>
      <c r="N7" s="21" t="s">
        <v>70</v>
      </c>
      <c r="O7" s="21" t="s">
        <v>50</v>
      </c>
      <c r="P7" s="21" t="s">
        <v>50</v>
      </c>
      <c r="Q7" s="21" t="s">
        <v>50</v>
      </c>
      <c r="R7" s="21" t="s">
        <v>50</v>
      </c>
      <c r="S7" s="21" t="s">
        <v>85</v>
      </c>
      <c r="T7" s="20" t="s">
        <v>57</v>
      </c>
      <c r="U7" s="20" t="s">
        <v>550</v>
      </c>
      <c r="V7" s="22" t="s">
        <v>501</v>
      </c>
      <c r="W7" s="21" t="s">
        <v>502</v>
      </c>
      <c r="X7" s="21" t="s">
        <v>385</v>
      </c>
      <c r="Y7" s="25">
        <v>78.820000000000007</v>
      </c>
      <c r="Z7" s="20">
        <v>260</v>
      </c>
      <c r="AA7" s="26">
        <f t="shared" si="0"/>
        <v>0.30315384615384616</v>
      </c>
      <c r="AB7" s="20" t="s">
        <v>84</v>
      </c>
    </row>
    <row r="8" spans="1:28" s="20" customFormat="1" x14ac:dyDescent="0.25">
      <c r="A8" s="20">
        <v>775</v>
      </c>
      <c r="B8" s="20" t="s">
        <v>216</v>
      </c>
      <c r="C8" s="20" t="s">
        <v>217</v>
      </c>
      <c r="D8" s="20" t="s">
        <v>26</v>
      </c>
      <c r="E8" s="20" t="s">
        <v>218</v>
      </c>
      <c r="F8" s="21">
        <v>2012</v>
      </c>
      <c r="G8" s="21">
        <v>55</v>
      </c>
      <c r="H8" s="21">
        <v>6</v>
      </c>
      <c r="I8" s="21">
        <v>740</v>
      </c>
      <c r="J8" s="21">
        <v>744</v>
      </c>
      <c r="K8" s="20" t="s">
        <v>15</v>
      </c>
      <c r="L8" s="21" t="s">
        <v>508</v>
      </c>
      <c r="M8" s="21" t="s">
        <v>386</v>
      </c>
      <c r="N8" s="20" t="s">
        <v>494</v>
      </c>
      <c r="O8" s="21" t="s">
        <v>50</v>
      </c>
      <c r="P8" s="21" t="s">
        <v>51</v>
      </c>
      <c r="Q8" s="21" t="s">
        <v>50</v>
      </c>
      <c r="R8" s="21" t="s">
        <v>349</v>
      </c>
      <c r="S8" s="21" t="s">
        <v>85</v>
      </c>
      <c r="T8" s="20" t="s">
        <v>57</v>
      </c>
      <c r="U8" s="20" t="s">
        <v>550</v>
      </c>
      <c r="V8" s="21" t="s">
        <v>388</v>
      </c>
      <c r="W8" s="21" t="s">
        <v>89</v>
      </c>
      <c r="X8" s="21" t="s">
        <v>387</v>
      </c>
      <c r="Y8" s="20">
        <v>5</v>
      </c>
      <c r="Z8" s="20">
        <v>6</v>
      </c>
      <c r="AA8" s="26">
        <f t="shared" si="0"/>
        <v>0.83333333333333337</v>
      </c>
      <c r="AB8" s="20" t="s">
        <v>84</v>
      </c>
    </row>
    <row r="9" spans="1:28" s="20" customFormat="1" x14ac:dyDescent="0.25">
      <c r="A9" s="20">
        <v>913</v>
      </c>
      <c r="B9" s="20" t="s">
        <v>230</v>
      </c>
      <c r="C9" s="20" t="s">
        <v>231</v>
      </c>
      <c r="D9" s="20" t="s">
        <v>26</v>
      </c>
      <c r="E9" s="20" t="s">
        <v>232</v>
      </c>
      <c r="F9" s="21">
        <v>2017</v>
      </c>
      <c r="G9" s="21">
        <v>26</v>
      </c>
      <c r="H9" s="21">
        <v>4</v>
      </c>
      <c r="I9" s="21">
        <v>719</v>
      </c>
      <c r="J9" s="21">
        <v>724</v>
      </c>
      <c r="K9" s="20" t="s">
        <v>15</v>
      </c>
      <c r="L9" s="21" t="s">
        <v>510</v>
      </c>
      <c r="M9" s="21" t="s">
        <v>50</v>
      </c>
      <c r="N9" s="21" t="s">
        <v>70</v>
      </c>
      <c r="O9" s="21" t="s">
        <v>50</v>
      </c>
      <c r="P9" s="21" t="s">
        <v>50</v>
      </c>
      <c r="Q9" s="21" t="s">
        <v>50</v>
      </c>
      <c r="R9" s="21" t="s">
        <v>50</v>
      </c>
      <c r="S9" s="21" t="s">
        <v>85</v>
      </c>
      <c r="T9" s="21" t="s">
        <v>57</v>
      </c>
      <c r="U9" s="20" t="s">
        <v>550</v>
      </c>
      <c r="V9" s="21" t="s">
        <v>402</v>
      </c>
      <c r="W9" s="21" t="s">
        <v>502</v>
      </c>
      <c r="X9" s="21" t="s">
        <v>401</v>
      </c>
      <c r="Y9" s="20">
        <v>54</v>
      </c>
      <c r="Z9" s="20">
        <v>90</v>
      </c>
      <c r="AA9" s="26">
        <f t="shared" si="0"/>
        <v>0.6</v>
      </c>
      <c r="AB9" s="20" t="s">
        <v>84</v>
      </c>
    </row>
    <row r="10" spans="1:28" x14ac:dyDescent="0.25">
      <c r="A10" s="6">
        <v>820</v>
      </c>
      <c r="B10" s="6" t="s">
        <v>219</v>
      </c>
      <c r="C10" s="6" t="s">
        <v>220</v>
      </c>
      <c r="D10" s="6" t="s">
        <v>26</v>
      </c>
      <c r="E10" s="6" t="s">
        <v>221</v>
      </c>
      <c r="F10" s="7">
        <v>2004</v>
      </c>
      <c r="G10" s="7">
        <v>28</v>
      </c>
      <c r="H10" s="7">
        <v>6</v>
      </c>
      <c r="I10" s="7">
        <v>490</v>
      </c>
      <c r="J10" s="7">
        <v>498</v>
      </c>
      <c r="K10" s="6" t="s">
        <v>15</v>
      </c>
      <c r="L10" s="8" t="s">
        <v>513</v>
      </c>
      <c r="M10" s="8" t="s">
        <v>51</v>
      </c>
      <c r="N10" s="7" t="s">
        <v>70</v>
      </c>
      <c r="O10" s="7" t="s">
        <v>50</v>
      </c>
      <c r="P10" s="8" t="s">
        <v>51</v>
      </c>
      <c r="Q10" s="7" t="s">
        <v>50</v>
      </c>
      <c r="R10" s="8" t="s">
        <v>51</v>
      </c>
      <c r="S10" s="7" t="s">
        <v>85</v>
      </c>
      <c r="T10" s="8" t="s">
        <v>53</v>
      </c>
      <c r="U10" t="s">
        <v>548</v>
      </c>
      <c r="V10" s="8" t="s">
        <v>391</v>
      </c>
      <c r="W10" s="8" t="s">
        <v>89</v>
      </c>
      <c r="X10" t="s">
        <v>393</v>
      </c>
      <c r="Y10">
        <v>13</v>
      </c>
      <c r="Z10">
        <v>35</v>
      </c>
      <c r="AA10" s="19">
        <f t="shared" si="0"/>
        <v>0.37142857142857144</v>
      </c>
      <c r="AB10" t="s">
        <v>552</v>
      </c>
    </row>
    <row r="11" spans="1:28" x14ac:dyDescent="0.25">
      <c r="A11" s="6">
        <v>537</v>
      </c>
      <c r="B11" s="6" t="s">
        <v>160</v>
      </c>
      <c r="C11" s="6" t="s">
        <v>161</v>
      </c>
      <c r="D11" s="6" t="s">
        <v>26</v>
      </c>
      <c r="E11" s="6" t="s">
        <v>162</v>
      </c>
      <c r="F11" s="7">
        <v>2005</v>
      </c>
      <c r="G11" s="7">
        <v>24</v>
      </c>
      <c r="H11" s="7">
        <v>2</v>
      </c>
      <c r="I11" s="7">
        <v>206</v>
      </c>
      <c r="J11" s="7">
        <v>210</v>
      </c>
      <c r="K11" s="6" t="s">
        <v>15</v>
      </c>
      <c r="L11" t="s">
        <v>511</v>
      </c>
      <c r="M11" s="7" t="s">
        <v>69</v>
      </c>
      <c r="N11" s="7" t="s">
        <v>70</v>
      </c>
      <c r="O11" t="s">
        <v>50</v>
      </c>
      <c r="P11" t="s">
        <v>50</v>
      </c>
      <c r="Q11" t="s">
        <v>50</v>
      </c>
      <c r="R11" t="s">
        <v>51</v>
      </c>
      <c r="S11" t="s">
        <v>85</v>
      </c>
      <c r="T11" t="s">
        <v>53</v>
      </c>
      <c r="U11" t="s">
        <v>548</v>
      </c>
      <c r="V11" t="s">
        <v>261</v>
      </c>
      <c r="W11" t="s">
        <v>89</v>
      </c>
      <c r="X11" t="s">
        <v>61</v>
      </c>
      <c r="Y11">
        <v>55</v>
      </c>
      <c r="Z11">
        <v>322</v>
      </c>
      <c r="AA11" s="19">
        <f t="shared" si="0"/>
        <v>0.17080745341614906</v>
      </c>
      <c r="AB11" t="s">
        <v>84</v>
      </c>
    </row>
    <row r="12" spans="1:28" x14ac:dyDescent="0.25">
      <c r="A12" s="6">
        <v>157</v>
      </c>
      <c r="B12" s="6" t="s">
        <v>178</v>
      </c>
      <c r="C12" s="6" t="s">
        <v>179</v>
      </c>
      <c r="D12" s="6" t="s">
        <v>26</v>
      </c>
      <c r="E12" s="6" t="s">
        <v>180</v>
      </c>
      <c r="F12" s="7">
        <v>2009</v>
      </c>
      <c r="G12" s="7">
        <v>7</v>
      </c>
      <c r="H12" s="7">
        <v>4</v>
      </c>
      <c r="I12" s="7">
        <v>259</v>
      </c>
      <c r="J12" s="7">
        <v>284</v>
      </c>
      <c r="K12" s="6" t="s">
        <v>15</v>
      </c>
      <c r="L12" s="8" t="s">
        <v>506</v>
      </c>
      <c r="M12" s="7" t="s">
        <v>295</v>
      </c>
      <c r="N12" s="7" t="s">
        <v>70</v>
      </c>
      <c r="O12" t="s">
        <v>50</v>
      </c>
      <c r="P12" t="s">
        <v>50</v>
      </c>
      <c r="Q12" t="s">
        <v>50</v>
      </c>
      <c r="R12" s="8" t="s">
        <v>51</v>
      </c>
      <c r="S12" s="8" t="s">
        <v>85</v>
      </c>
      <c r="T12" t="s">
        <v>53</v>
      </c>
      <c r="U12" t="s">
        <v>548</v>
      </c>
      <c r="V12" s="8" t="s">
        <v>300</v>
      </c>
      <c r="W12" s="8" t="s">
        <v>89</v>
      </c>
      <c r="X12" s="8" t="s">
        <v>294</v>
      </c>
      <c r="Y12" s="3">
        <f>75.4%*Z12</f>
        <v>43.731999999999999</v>
      </c>
      <c r="Z12">
        <v>58</v>
      </c>
      <c r="AA12" s="19">
        <f t="shared" si="0"/>
        <v>0.754</v>
      </c>
      <c r="AB12" t="s">
        <v>84</v>
      </c>
    </row>
    <row r="13" spans="1:28" x14ac:dyDescent="0.25">
      <c r="A13" s="6">
        <v>671</v>
      </c>
      <c r="B13" s="6" t="s">
        <v>213</v>
      </c>
      <c r="C13" s="6" t="s">
        <v>214</v>
      </c>
      <c r="D13" s="6" t="s">
        <v>26</v>
      </c>
      <c r="E13" s="6" t="s">
        <v>215</v>
      </c>
      <c r="F13" s="7">
        <v>2011</v>
      </c>
      <c r="G13" s="7">
        <v>46</v>
      </c>
      <c r="H13" s="7">
        <v>8</v>
      </c>
      <c r="I13" s="7">
        <v>1569</v>
      </c>
      <c r="J13" s="7">
        <v>1574</v>
      </c>
      <c r="K13" s="6" t="s">
        <v>15</v>
      </c>
      <c r="L13" s="7" t="s">
        <v>509</v>
      </c>
      <c r="M13" s="7" t="s">
        <v>50</v>
      </c>
      <c r="N13" s="7" t="s">
        <v>70</v>
      </c>
      <c r="O13" s="7" t="s">
        <v>50</v>
      </c>
      <c r="P13" s="7" t="s">
        <v>50</v>
      </c>
      <c r="Q13" s="7" t="s">
        <v>498</v>
      </c>
      <c r="R13" s="7" t="s">
        <v>51</v>
      </c>
      <c r="S13" s="7" t="s">
        <v>85</v>
      </c>
      <c r="T13" t="s">
        <v>53</v>
      </c>
      <c r="U13" t="s">
        <v>548</v>
      </c>
      <c r="V13" s="11" t="s">
        <v>499</v>
      </c>
      <c r="W13" s="8" t="s">
        <v>500</v>
      </c>
      <c r="X13" s="8" t="s">
        <v>385</v>
      </c>
      <c r="Y13" s="3">
        <v>236.33</v>
      </c>
      <c r="Z13">
        <v>260</v>
      </c>
      <c r="AA13" s="19">
        <f t="shared" si="0"/>
        <v>0.90896153846153849</v>
      </c>
      <c r="AB13" t="s">
        <v>84</v>
      </c>
    </row>
    <row r="14" spans="1:28" x14ac:dyDescent="0.25">
      <c r="A14">
        <v>939</v>
      </c>
      <c r="B14" s="6" t="s">
        <v>16</v>
      </c>
      <c r="C14" s="6" t="s">
        <v>17</v>
      </c>
      <c r="D14" s="6"/>
      <c r="E14" s="6" t="s">
        <v>18</v>
      </c>
      <c r="F14" s="7">
        <v>2011</v>
      </c>
      <c r="G14" s="7">
        <v>6</v>
      </c>
      <c r="H14" s="7">
        <v>5</v>
      </c>
      <c r="I14" s="7" t="s">
        <v>19</v>
      </c>
      <c r="J14" s="7" t="s">
        <v>20</v>
      </c>
      <c r="K14" t="s">
        <v>15</v>
      </c>
      <c r="L14" t="s">
        <v>512</v>
      </c>
      <c r="M14" s="7" t="s">
        <v>69</v>
      </c>
      <c r="N14" t="s">
        <v>70</v>
      </c>
      <c r="O14" t="s">
        <v>50</v>
      </c>
      <c r="P14" t="s">
        <v>50</v>
      </c>
      <c r="Q14" t="s">
        <v>50</v>
      </c>
      <c r="R14" t="s">
        <v>51</v>
      </c>
      <c r="S14" t="s">
        <v>85</v>
      </c>
      <c r="T14" t="s">
        <v>53</v>
      </c>
      <c r="U14" t="s">
        <v>548</v>
      </c>
      <c r="V14" t="s">
        <v>86</v>
      </c>
      <c r="W14" t="s">
        <v>89</v>
      </c>
      <c r="X14" t="s">
        <v>61</v>
      </c>
      <c r="Y14" s="3">
        <v>330</v>
      </c>
      <c r="Z14">
        <v>430</v>
      </c>
      <c r="AA14" s="19">
        <f t="shared" si="0"/>
        <v>0.76744186046511631</v>
      </c>
      <c r="AB14" t="s">
        <v>84</v>
      </c>
    </row>
    <row r="15" spans="1:28" x14ac:dyDescent="0.25">
      <c r="A15" s="6">
        <v>112</v>
      </c>
      <c r="B15" s="6" t="s">
        <v>157</v>
      </c>
      <c r="C15" s="6" t="s">
        <v>158</v>
      </c>
      <c r="D15" s="6" t="s">
        <v>26</v>
      </c>
      <c r="E15" s="6" t="s">
        <v>159</v>
      </c>
      <c r="F15" s="7">
        <v>2014</v>
      </c>
      <c r="G15" s="7">
        <v>26</v>
      </c>
      <c r="H15" s="7">
        <v>11</v>
      </c>
      <c r="I15" s="7">
        <v>1228</v>
      </c>
      <c r="J15" s="7">
        <v>1233</v>
      </c>
      <c r="K15" s="6" t="s">
        <v>15</v>
      </c>
      <c r="L15" t="s">
        <v>505</v>
      </c>
      <c r="M15" s="7" t="s">
        <v>69</v>
      </c>
      <c r="N15" s="7" t="s">
        <v>70</v>
      </c>
      <c r="O15" t="s">
        <v>50</v>
      </c>
      <c r="P15" t="s">
        <v>50</v>
      </c>
      <c r="Q15" t="s">
        <v>50</v>
      </c>
      <c r="R15" t="s">
        <v>51</v>
      </c>
      <c r="S15" t="s">
        <v>85</v>
      </c>
      <c r="T15" t="s">
        <v>53</v>
      </c>
      <c r="U15" t="s">
        <v>548</v>
      </c>
      <c r="V15" t="s">
        <v>261</v>
      </c>
      <c r="W15" t="s">
        <v>89</v>
      </c>
      <c r="X15" t="s">
        <v>265</v>
      </c>
      <c r="Y15">
        <v>207</v>
      </c>
      <c r="Z15">
        <v>265</v>
      </c>
      <c r="AA15" s="19">
        <f t="shared" si="0"/>
        <v>0.78113207547169816</v>
      </c>
      <c r="AB15" t="s">
        <v>84</v>
      </c>
    </row>
    <row r="16" spans="1:28" x14ac:dyDescent="0.25">
      <c r="A16" s="6">
        <v>913</v>
      </c>
      <c r="B16" s="6" t="s">
        <v>230</v>
      </c>
      <c r="C16" s="6" t="s">
        <v>231</v>
      </c>
      <c r="D16" s="6" t="s">
        <v>26</v>
      </c>
      <c r="E16" s="6" t="s">
        <v>232</v>
      </c>
      <c r="F16" s="7">
        <v>2017</v>
      </c>
      <c r="G16" s="7">
        <v>26</v>
      </c>
      <c r="H16" s="7">
        <v>4</v>
      </c>
      <c r="I16" s="7">
        <v>719</v>
      </c>
      <c r="J16" s="7">
        <v>724</v>
      </c>
      <c r="K16" s="6" t="s">
        <v>15</v>
      </c>
      <c r="L16" s="8" t="s">
        <v>510</v>
      </c>
      <c r="M16" s="7" t="s">
        <v>50</v>
      </c>
      <c r="N16" s="7" t="s">
        <v>70</v>
      </c>
      <c r="O16" s="7" t="s">
        <v>50</v>
      </c>
      <c r="P16" s="7" t="s">
        <v>50</v>
      </c>
      <c r="Q16" s="7" t="s">
        <v>50</v>
      </c>
      <c r="R16" s="7" t="s">
        <v>50</v>
      </c>
      <c r="S16" s="7" t="s">
        <v>85</v>
      </c>
      <c r="T16" s="8" t="s">
        <v>53</v>
      </c>
      <c r="U16" t="s">
        <v>548</v>
      </c>
      <c r="V16" s="8" t="s">
        <v>403</v>
      </c>
      <c r="W16" s="8" t="s">
        <v>89</v>
      </c>
      <c r="X16" s="8" t="s">
        <v>400</v>
      </c>
      <c r="Y16">
        <f>78+33</f>
        <v>111</v>
      </c>
      <c r="Z16">
        <v>125</v>
      </c>
      <c r="AA16" s="19">
        <f t="shared" si="0"/>
        <v>0.88800000000000001</v>
      </c>
      <c r="AB16" t="s">
        <v>84</v>
      </c>
    </row>
    <row r="17" spans="1:28" s="20" customFormat="1" x14ac:dyDescent="0.25">
      <c r="A17" s="20">
        <v>939</v>
      </c>
      <c r="B17" s="20" t="s">
        <v>16</v>
      </c>
      <c r="C17" s="20" t="s">
        <v>17</v>
      </c>
      <c r="E17" s="20" t="s">
        <v>18</v>
      </c>
      <c r="F17" s="21">
        <v>2011</v>
      </c>
      <c r="G17" s="21">
        <v>6</v>
      </c>
      <c r="H17" s="21">
        <v>5</v>
      </c>
      <c r="I17" s="21" t="s">
        <v>19</v>
      </c>
      <c r="J17" s="21" t="s">
        <v>20</v>
      </c>
      <c r="K17" s="20" t="s">
        <v>15</v>
      </c>
      <c r="L17" s="20" t="s">
        <v>512</v>
      </c>
      <c r="M17" s="21" t="s">
        <v>69</v>
      </c>
      <c r="N17" s="20" t="s">
        <v>70</v>
      </c>
      <c r="O17" s="20" t="s">
        <v>50</v>
      </c>
      <c r="P17" s="20" t="s">
        <v>50</v>
      </c>
      <c r="Q17" s="20" t="s">
        <v>50</v>
      </c>
      <c r="R17" s="20" t="s">
        <v>51</v>
      </c>
      <c r="S17" s="20" t="s">
        <v>85</v>
      </c>
      <c r="T17" s="20" t="s">
        <v>53</v>
      </c>
      <c r="U17" s="20" t="s">
        <v>549</v>
      </c>
      <c r="V17" s="20" t="s">
        <v>87</v>
      </c>
      <c r="W17" s="20" t="s">
        <v>89</v>
      </c>
      <c r="X17" s="20" t="s">
        <v>61</v>
      </c>
      <c r="Y17" s="25">
        <v>381</v>
      </c>
      <c r="Z17" s="20">
        <v>430</v>
      </c>
      <c r="AA17" s="26">
        <f t="shared" si="0"/>
        <v>0.88604651162790693</v>
      </c>
      <c r="AB17" s="20" t="s">
        <v>84</v>
      </c>
    </row>
    <row r="18" spans="1:28" s="20" customFormat="1" x14ac:dyDescent="0.25">
      <c r="A18" s="20">
        <v>112</v>
      </c>
      <c r="B18" s="20" t="s">
        <v>157</v>
      </c>
      <c r="C18" s="20" t="s">
        <v>158</v>
      </c>
      <c r="D18" s="20" t="s">
        <v>26</v>
      </c>
      <c r="E18" s="20" t="s">
        <v>159</v>
      </c>
      <c r="F18" s="21">
        <v>2014</v>
      </c>
      <c r="G18" s="21">
        <v>26</v>
      </c>
      <c r="H18" s="21">
        <v>11</v>
      </c>
      <c r="I18" s="21">
        <v>1228</v>
      </c>
      <c r="J18" s="21">
        <v>1233</v>
      </c>
      <c r="K18" s="20" t="s">
        <v>15</v>
      </c>
      <c r="L18" s="20" t="s">
        <v>557</v>
      </c>
      <c r="M18" s="21" t="s">
        <v>69</v>
      </c>
      <c r="N18" s="21" t="s">
        <v>70</v>
      </c>
      <c r="O18" s="20" t="s">
        <v>50</v>
      </c>
      <c r="P18" s="20" t="s">
        <v>50</v>
      </c>
      <c r="Q18" s="20" t="s">
        <v>50</v>
      </c>
      <c r="R18" s="20" t="s">
        <v>51</v>
      </c>
      <c r="S18" s="20" t="s">
        <v>85</v>
      </c>
      <c r="T18" s="20" t="s">
        <v>53</v>
      </c>
      <c r="U18" s="20" t="s">
        <v>549</v>
      </c>
      <c r="V18" s="20" t="s">
        <v>263</v>
      </c>
      <c r="W18" s="20" t="s">
        <v>89</v>
      </c>
      <c r="X18" s="20" t="s">
        <v>264</v>
      </c>
      <c r="Y18" s="20">
        <v>30</v>
      </c>
      <c r="Z18" s="20">
        <v>322</v>
      </c>
      <c r="AA18" s="26">
        <f t="shared" si="0"/>
        <v>9.3167701863354033E-2</v>
      </c>
      <c r="AB18" s="20" t="s">
        <v>84</v>
      </c>
    </row>
    <row r="19" spans="1:28" s="20" customFormat="1" x14ac:dyDescent="0.25">
      <c r="A19" s="20">
        <v>112</v>
      </c>
      <c r="B19" s="20" t="s">
        <v>157</v>
      </c>
      <c r="C19" s="20" t="s">
        <v>158</v>
      </c>
      <c r="D19" s="20" t="s">
        <v>26</v>
      </c>
      <c r="E19" s="20" t="s">
        <v>159</v>
      </c>
      <c r="F19" s="21">
        <v>2014</v>
      </c>
      <c r="G19" s="21">
        <v>26</v>
      </c>
      <c r="H19" s="21">
        <v>11</v>
      </c>
      <c r="I19" s="21">
        <v>1228</v>
      </c>
      <c r="J19" s="21">
        <v>1233</v>
      </c>
      <c r="K19" s="20" t="s">
        <v>15</v>
      </c>
      <c r="L19" s="20" t="s">
        <v>558</v>
      </c>
      <c r="M19" s="21" t="s">
        <v>69</v>
      </c>
      <c r="N19" s="21" t="s">
        <v>70</v>
      </c>
      <c r="O19" s="20" t="s">
        <v>50</v>
      </c>
      <c r="P19" s="20" t="s">
        <v>50</v>
      </c>
      <c r="Q19" s="20" t="s">
        <v>50</v>
      </c>
      <c r="R19" s="20" t="s">
        <v>51</v>
      </c>
      <c r="S19" s="20" t="s">
        <v>85</v>
      </c>
      <c r="T19" s="20" t="s">
        <v>53</v>
      </c>
      <c r="U19" s="20" t="s">
        <v>549</v>
      </c>
      <c r="V19" s="20" t="s">
        <v>263</v>
      </c>
      <c r="W19" s="20" t="s">
        <v>89</v>
      </c>
      <c r="X19" s="20" t="s">
        <v>265</v>
      </c>
      <c r="Y19" s="20">
        <v>232</v>
      </c>
      <c r="Z19" s="20">
        <v>265</v>
      </c>
      <c r="AA19" s="26">
        <f t="shared" si="0"/>
        <v>0.87547169811320757</v>
      </c>
      <c r="AB19" s="20" t="s">
        <v>84</v>
      </c>
    </row>
  </sheetData>
  <autoFilter ref="A1:AB19"/>
  <sortState ref="A2:AM9">
    <sortCondition ref="U2:U9"/>
    <sortCondition ref="F2:F9"/>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Knowledge</vt:lpstr>
      <vt:lpstr>Behaviour</vt:lpstr>
      <vt:lpstr>Training</vt:lpstr>
      <vt:lpstr>Self-Efficacy</vt:lpstr>
      <vt:lpstr>Celiac</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Ian Young</dc:creator>
  <cp:lastModifiedBy>Ian Young</cp:lastModifiedBy>
  <dcterms:created xsi:type="dcterms:W3CDTF">2016-11-11T18:43:24Z</dcterms:created>
  <dcterms:modified xsi:type="dcterms:W3CDTF">2018-07-12T13:40:11Z</dcterms:modified>
</cp:coreProperties>
</file>